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1800" windowWidth="23256" windowHeight="11316" tabRatio="611"/>
  </bookViews>
  <sheets>
    <sheet name="по новой классификации" sheetId="4" r:id="rId1"/>
  </sheets>
  <definedNames>
    <definedName name="_xlnm._FilterDatabase" localSheetId="0" hidden="1">'по новой классификации'!$B$23:$F$23</definedName>
    <definedName name="_xlnm.Print_Titles" localSheetId="0">'по новой классификации'!$22:$22</definedName>
    <definedName name="_xlnm.Print_Area" localSheetId="0">'по новой классификации'!$A$1:$G$742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14" i="4" l="1"/>
  <c r="G369" i="4"/>
  <c r="G214" i="4"/>
  <c r="G95" i="4"/>
  <c r="G548" i="4"/>
  <c r="G554" i="4"/>
  <c r="G694" i="4"/>
  <c r="G338" i="4"/>
  <c r="G688" i="4"/>
  <c r="G670" i="4"/>
  <c r="G415" i="4"/>
  <c r="G373" i="4"/>
  <c r="G371" i="4"/>
  <c r="G370" i="4"/>
  <c r="G215" i="4"/>
  <c r="G99" i="4"/>
  <c r="G96" i="4"/>
  <c r="G98" i="4"/>
  <c r="G555" i="4"/>
  <c r="G158" i="4"/>
  <c r="G157" i="4"/>
  <c r="G156" i="4"/>
  <c r="G345" i="4"/>
  <c r="G695" i="4"/>
  <c r="G347" i="4"/>
  <c r="G689" i="4"/>
  <c r="G706" i="4" l="1"/>
  <c r="G704" i="4"/>
  <c r="G703" i="4"/>
  <c r="G726" i="4"/>
  <c r="G360" i="4"/>
  <c r="G203" i="4"/>
  <c r="G91" i="4"/>
  <c r="G312" i="4"/>
  <c r="G526" i="4"/>
  <c r="G522" i="4"/>
  <c r="G491" i="4"/>
  <c r="G477" i="4"/>
  <c r="G469" i="4"/>
  <c r="G473" i="4"/>
  <c r="G178" i="4"/>
  <c r="G335" i="4"/>
  <c r="G645" i="4"/>
  <c r="G639" i="4"/>
  <c r="G637" i="4"/>
  <c r="G636" i="4"/>
  <c r="G448" i="4"/>
  <c r="G450" i="4"/>
  <c r="G446" i="4"/>
  <c r="G439" i="4"/>
  <c r="G438" i="4"/>
  <c r="G437" i="4"/>
  <c r="G366" i="4"/>
  <c r="G362" i="4"/>
  <c r="G361" i="4"/>
  <c r="G256" i="4"/>
  <c r="G255" i="4"/>
  <c r="G254" i="4"/>
  <c r="G204" i="4"/>
  <c r="G105" i="4"/>
  <c r="G93" i="4"/>
  <c r="G313" i="4"/>
  <c r="G317" i="4"/>
  <c r="G316" i="4"/>
  <c r="G499" i="4"/>
  <c r="G495" i="4"/>
  <c r="G481" i="4"/>
  <c r="G527" i="4"/>
  <c r="G524" i="4"/>
  <c r="G523" i="4"/>
  <c r="G478" i="4"/>
  <c r="G475" i="4"/>
  <c r="G474" i="4"/>
  <c r="G471" i="4"/>
  <c r="G470" i="4"/>
  <c r="G508" i="4"/>
  <c r="G492" i="4"/>
  <c r="G183" i="4"/>
  <c r="G181" i="4"/>
  <c r="G179" i="4"/>
  <c r="G177" i="4"/>
  <c r="G728" i="4"/>
  <c r="G727" i="4"/>
  <c r="G339" i="4"/>
  <c r="G336" i="4"/>
  <c r="G671" i="4"/>
  <c r="G674" i="4"/>
  <c r="G161" i="4" l="1"/>
  <c r="G162" i="4"/>
  <c r="G46" i="4" l="1"/>
  <c r="G273" i="4"/>
  <c r="G735" i="4" l="1"/>
  <c r="G713" i="4" l="1"/>
  <c r="G305" i="4" l="1"/>
  <c r="G143" i="4" l="1"/>
  <c r="G711" i="4" l="1"/>
  <c r="G38" i="4" l="1"/>
  <c r="G643" i="4"/>
  <c r="G654" i="4"/>
  <c r="G641" i="4"/>
  <c r="G209" i="4"/>
  <c r="G241" i="4"/>
  <c r="G243" i="4"/>
  <c r="G231" i="4"/>
  <c r="G543" i="4"/>
  <c r="G165" i="4"/>
  <c r="G101" i="4"/>
  <c r="G310" i="4"/>
  <c r="G309" i="4"/>
  <c r="G712" i="4"/>
  <c r="G516" i="4" l="1"/>
  <c r="G74" i="4"/>
  <c r="G699" i="4"/>
  <c r="G129" i="4" l="1"/>
  <c r="G412" i="4" l="1"/>
  <c r="G405" i="4"/>
  <c r="G459" i="4"/>
  <c r="G69" i="4"/>
  <c r="G631" i="4"/>
  <c r="G411" i="4"/>
  <c r="G407" i="4"/>
  <c r="G400" i="4"/>
  <c r="G397" i="4"/>
  <c r="G70" i="4"/>
  <c r="G121" i="4"/>
  <c r="G349" i="4"/>
  <c r="G719" i="4" l="1"/>
  <c r="G511" i="4" l="1"/>
  <c r="G715" i="4" l="1"/>
  <c r="G517" i="4" l="1"/>
  <c r="G118" i="4" l="1"/>
  <c r="G117" i="4"/>
  <c r="G342" i="4" l="1"/>
  <c r="G441" i="4"/>
  <c r="G125" i="4" l="1"/>
  <c r="G160" i="4"/>
  <c r="G602" i="4"/>
  <c r="G149" i="4" l="1"/>
  <c r="G426" i="4"/>
  <c r="G425" i="4"/>
  <c r="G64" i="4"/>
  <c r="G88" i="4"/>
  <c r="G87" i="4"/>
  <c r="G717" i="4"/>
  <c r="G392" i="4" l="1"/>
  <c r="G277" i="4"/>
  <c r="G267" i="4"/>
  <c r="G82" i="4"/>
  <c r="G455" i="4"/>
  <c r="G381" i="4" l="1"/>
  <c r="G387" i="4" l="1"/>
  <c r="G384" i="4"/>
  <c r="G604" i="4"/>
  <c r="G606" i="4"/>
  <c r="G605" i="4"/>
  <c r="G603" i="4"/>
  <c r="G601" i="4"/>
  <c r="G600" i="4" s="1"/>
  <c r="G599" i="4" s="1"/>
  <c r="G582" i="4" s="1"/>
  <c r="G402" i="4"/>
  <c r="G404" i="4"/>
  <c r="G396" i="4"/>
  <c r="G581" i="4"/>
  <c r="G107" i="4" l="1"/>
  <c r="G721" i="4"/>
  <c r="G586" i="4" l="1"/>
  <c r="G622" i="4"/>
  <c r="G376" i="4"/>
  <c r="G263" i="4" l="1"/>
  <c r="G40" i="4"/>
  <c r="G151" i="4" l="1"/>
  <c r="G720" i="4" l="1"/>
  <c r="G289" i="4" l="1"/>
  <c r="G291" i="4"/>
  <c r="G709" i="4" l="1"/>
  <c r="G290" i="4" l="1"/>
  <c r="G72" i="4"/>
  <c r="G718" i="4" l="1"/>
  <c r="G319" i="4"/>
  <c r="G432" i="4" l="1"/>
  <c r="G663" i="4" l="1"/>
  <c r="G139" i="4" l="1"/>
  <c r="G296" i="4" l="1"/>
  <c r="G483" i="4"/>
  <c r="G172" i="4"/>
  <c r="G422" i="4" l="1"/>
  <c r="G330" i="4" l="1"/>
  <c r="G578" i="4" l="1"/>
  <c r="G577" i="4"/>
  <c r="G423" i="4"/>
  <c r="G421" i="4"/>
  <c r="G284" i="4"/>
  <c r="G283" i="4"/>
  <c r="G282" i="4" s="1"/>
  <c r="G167" i="4"/>
  <c r="G166" i="4" s="1"/>
  <c r="G164" i="4"/>
  <c r="G138" i="4"/>
  <c r="G52" i="4"/>
  <c r="G51" i="4" s="1"/>
  <c r="G35" i="4"/>
  <c r="G49" i="4"/>
  <c r="G163" i="4" l="1"/>
  <c r="G159" i="4"/>
  <c r="G123" i="4" l="1"/>
  <c r="G194" i="4" l="1"/>
  <c r="G32" i="4"/>
  <c r="G500" i="4"/>
  <c r="G618" i="4"/>
  <c r="G174" i="4" l="1"/>
  <c r="G134" i="4" l="1"/>
  <c r="G133" i="4"/>
  <c r="G113" i="4"/>
  <c r="G114" i="4"/>
  <c r="G115" i="4"/>
  <c r="G111" i="4"/>
  <c r="G590" i="4" l="1"/>
  <c r="G464" i="4" l="1"/>
  <c r="G484" i="4" l="1"/>
  <c r="G170" i="4"/>
  <c r="G460" i="4" l="1"/>
  <c r="G42" i="4" l="1"/>
  <c r="G103" i="4" l="1"/>
  <c r="G102" i="4" s="1"/>
  <c r="G665" i="4"/>
  <c r="G664" i="4" s="1"/>
  <c r="G442" i="4" l="1"/>
  <c r="G220" i="4" l="1"/>
  <c r="G431" i="4"/>
  <c r="G60" i="4"/>
  <c r="G710" i="4" l="1"/>
  <c r="G708" i="4" l="1"/>
  <c r="G298" i="4"/>
  <c r="G714" i="4" l="1"/>
  <c r="G679" i="4" l="1"/>
  <c r="G676" i="4"/>
  <c r="G287" i="4"/>
  <c r="G92" i="4" l="1"/>
  <c r="G65" i="4"/>
  <c r="G276" i="4" l="1"/>
  <c r="G306" i="4"/>
  <c r="G130" i="4" l="1"/>
  <c r="G698" i="4"/>
  <c r="G39" i="4" l="1"/>
  <c r="G598" i="4"/>
  <c r="G44" i="4" l="1"/>
  <c r="G648" i="4" l="1"/>
  <c r="G33" i="4"/>
  <c r="G571" i="4" l="1"/>
  <c r="G398" i="4" l="1"/>
  <c r="G730" i="4"/>
  <c r="G534" i="4" l="1"/>
  <c r="G530" i="4"/>
  <c r="G580" i="4" l="1"/>
  <c r="G86" i="4" l="1"/>
  <c r="G173" i="4" l="1"/>
  <c r="G697" i="4" l="1"/>
  <c r="G716" i="4" l="1"/>
  <c r="G707" i="4" s="1"/>
  <c r="G658" i="4" l="1"/>
  <c r="G127" i="4" l="1"/>
  <c r="G148" i="4" l="1"/>
  <c r="G563" i="4" l="1"/>
  <c r="G327" i="4" l="1"/>
  <c r="G507" i="4"/>
  <c r="G702" i="4" l="1"/>
  <c r="G85" i="4" l="1"/>
  <c r="G281" i="4"/>
  <c r="G227" i="4"/>
  <c r="G270" i="4" l="1"/>
  <c r="G150" i="4" l="1"/>
  <c r="G147" i="4" s="1"/>
  <c r="G186" i="4" l="1"/>
  <c r="G683" i="4" l="1"/>
  <c r="G262" i="4" l="1"/>
  <c r="G261" i="4" s="1"/>
  <c r="G391" i="4" l="1"/>
  <c r="G390" i="4" s="1"/>
  <c r="G389" i="4" s="1"/>
  <c r="G449" i="4"/>
  <c r="G447" i="4"/>
  <c r="G445" i="4"/>
  <c r="G440" i="4"/>
  <c r="G436" i="4"/>
  <c r="G435" i="4" l="1"/>
  <c r="G434" i="4" s="1"/>
  <c r="G433" i="4" s="1"/>
  <c r="G280" i="4"/>
  <c r="G268" i="4" l="1"/>
  <c r="G128" i="4"/>
  <c r="G193" i="4" l="1"/>
  <c r="G192" i="4" s="1"/>
  <c r="G288" i="4" l="1"/>
  <c r="G234" i="4" l="1"/>
  <c r="G185" i="4"/>
  <c r="G184" i="4" s="1"/>
  <c r="G302" i="4" l="1"/>
  <c r="G611" i="4" l="1"/>
  <c r="G304" i="4" l="1"/>
  <c r="G488" i="4" l="1"/>
  <c r="G538" i="4"/>
  <c r="G537" i="4" s="1"/>
  <c r="G536" i="4" s="1"/>
  <c r="G135" i="4" l="1"/>
  <c r="G482" i="4" l="1"/>
  <c r="G211" i="4" l="1"/>
  <c r="G487" i="4" l="1"/>
  <c r="G48" i="4" l="1"/>
  <c r="G354" i="4" l="1"/>
  <c r="G621" i="4" l="1"/>
  <c r="G239" i="4"/>
  <c r="G690" i="4" l="1"/>
  <c r="G408" i="4" l="1"/>
  <c r="G406" i="4"/>
  <c r="G351" i="4" l="1"/>
  <c r="G350" i="4" s="1"/>
  <c r="G454" i="4" l="1"/>
  <c r="G453" i="4" s="1"/>
  <c r="G452" i="4" s="1"/>
  <c r="G429" i="4"/>
  <c r="G625" i="4" l="1"/>
  <c r="G669" i="4" l="1"/>
  <c r="G610" i="4" l="1"/>
  <c r="G533" i="4" l="1"/>
  <c r="G56" i="4" l="1"/>
  <c r="G245" i="4"/>
  <c r="G244" i="4" s="1"/>
  <c r="G573" i="4" l="1"/>
  <c r="G572" i="4" s="1"/>
  <c r="G295" i="4" l="1"/>
  <c r="G344" i="4" l="1"/>
  <c r="G84" i="4" l="1"/>
  <c r="G53" i="4" l="1"/>
  <c r="G100" i="4" l="1"/>
  <c r="G458" i="4" l="1"/>
  <c r="G686" i="4"/>
  <c r="G685" i="4"/>
  <c r="G693" i="4"/>
  <c r="G110" i="4" l="1"/>
  <c r="G45" i="4"/>
  <c r="G140" i="4"/>
  <c r="G570" i="4" l="1"/>
  <c r="G515" i="4"/>
  <c r="G514" i="4" s="1"/>
  <c r="G568" i="4" l="1"/>
  <c r="G567" i="4" s="1"/>
  <c r="G566" i="4" s="1"/>
  <c r="G343" i="4" l="1"/>
  <c r="G642" i="4" l="1"/>
  <c r="G644" i="4"/>
  <c r="G640" i="4"/>
  <c r="G363" i="4"/>
  <c r="G365" i="4"/>
  <c r="G259" i="4"/>
  <c r="G257" i="4"/>
  <c r="G206" i="4"/>
  <c r="G208" i="4"/>
  <c r="G104" i="4"/>
  <c r="G106" i="4"/>
  <c r="G323" i="4"/>
  <c r="G321" i="4"/>
  <c r="G559" i="4"/>
  <c r="G557" i="4"/>
  <c r="G496" i="4"/>
  <c r="G498" i="4"/>
  <c r="G494" i="4"/>
  <c r="G182" i="4"/>
  <c r="G180" i="4"/>
  <c r="G341" i="4"/>
  <c r="G348" i="4"/>
  <c r="G620" i="4" l="1"/>
  <c r="G424" i="4" l="1"/>
  <c r="G420" i="4" s="1"/>
  <c r="G401" i="4"/>
  <c r="G83" i="4"/>
  <c r="G294" i="4" l="1"/>
  <c r="G43" i="4"/>
  <c r="G529" i="4" l="1"/>
  <c r="G248" i="4" l="1"/>
  <c r="G247" i="4" s="1"/>
  <c r="G145" i="4" l="1"/>
  <c r="G144" i="4" s="1"/>
  <c r="G31" i="4" l="1"/>
  <c r="G334" i="4" l="1"/>
  <c r="G223" i="4" l="1"/>
  <c r="G142" i="4"/>
  <c r="G232" i="4" l="1"/>
  <c r="G126" i="4" l="1"/>
  <c r="G168" i="4" l="1"/>
  <c r="G372" i="4" l="1"/>
  <c r="G108" i="4"/>
  <c r="G550" i="4"/>
  <c r="G485" i="4"/>
  <c r="G329" i="4" l="1"/>
  <c r="G328" i="4" s="1"/>
  <c r="G47" i="4" l="1"/>
  <c r="G579" i="4" l="1"/>
  <c r="G576" i="4" s="1"/>
  <c r="G575" i="4" l="1"/>
  <c r="G230" i="4" l="1"/>
  <c r="G29" i="4" l="1"/>
  <c r="G59" i="4" l="1"/>
  <c r="G293" i="4" l="1"/>
  <c r="G292" i="4" s="1"/>
  <c r="G210" i="4" l="1"/>
  <c r="G525" i="4" l="1"/>
  <c r="G612" i="4" l="1"/>
  <c r="G609" i="4" s="1"/>
  <c r="G403" i="4"/>
  <c r="G171" i="4" l="1"/>
  <c r="G738" i="4"/>
  <c r="G737" i="4" s="1"/>
  <c r="G395" i="4"/>
  <c r="G90" i="4"/>
  <c r="G37" i="4" l="1"/>
  <c r="G286" i="4" l="1"/>
  <c r="G375" i="4" l="1"/>
  <c r="G374" i="4" s="1"/>
  <c r="G124" i="4"/>
  <c r="G380" i="4"/>
  <c r="G379" i="4" s="1"/>
  <c r="G597" i="4" l="1"/>
  <c r="G596" i="4" s="1"/>
  <c r="G595" i="4" s="1"/>
  <c r="G71" i="4" l="1"/>
  <c r="G27" i="4"/>
  <c r="G428" i="4"/>
  <c r="G427" i="4" s="1"/>
  <c r="G696" i="4"/>
  <c r="G155" i="4" l="1"/>
  <c r="G154" i="4" s="1"/>
  <c r="G368" i="4" l="1"/>
  <c r="G367" i="4" s="1"/>
  <c r="G675" i="4" l="1"/>
  <c r="G359" i="4" l="1"/>
  <c r="G358" i="4" s="1"/>
  <c r="G308" i="4"/>
  <c r="G253" i="4"/>
  <c r="G252" i="4" s="1"/>
  <c r="G251" i="4" s="1"/>
  <c r="G176" i="4"/>
  <c r="G175" i="4" s="1"/>
  <c r="G153" i="4" s="1"/>
  <c r="G112" i="4"/>
  <c r="G67" i="4"/>
  <c r="G357" i="4" l="1"/>
  <c r="G356" i="4" s="1"/>
  <c r="G678" i="4" l="1"/>
  <c r="G668" i="4" s="1"/>
  <c r="G463" i="4" l="1"/>
  <c r="G462" i="4" s="1"/>
  <c r="G461" i="4" s="1"/>
  <c r="G190" i="4" l="1"/>
  <c r="G189" i="4" s="1"/>
  <c r="G188" i="4" s="1"/>
  <c r="G94" i="4" l="1"/>
  <c r="G510" i="4" l="1"/>
  <c r="G311" i="4" l="1"/>
  <c r="G301" i="4" s="1"/>
  <c r="G116" i="4" l="1"/>
  <c r="G89" i="4" s="1"/>
  <c r="G416" i="4" l="1"/>
  <c r="G61" i="4" l="1"/>
  <c r="G55" i="4" s="1"/>
  <c r="G132" i="4"/>
  <c r="G687" i="4" l="1"/>
  <c r="G653" i="4" l="1"/>
  <c r="G652" i="4" s="1"/>
  <c r="G318" i="4" l="1"/>
  <c r="G326" i="4" l="1"/>
  <c r="G325" i="4" s="1"/>
  <c r="G315" i="4"/>
  <c r="G314" i="4" s="1"/>
  <c r="G468" i="4"/>
  <c r="G300" i="4" l="1"/>
  <c r="G457" i="4"/>
  <c r="G456" i="4" s="1"/>
  <c r="G451" i="4" s="1"/>
  <c r="G228" i="4" l="1"/>
  <c r="G226" i="4"/>
  <c r="G122" i="4"/>
  <c r="G542" i="4" l="1"/>
  <c r="G541" i="4" l="1"/>
  <c r="G540" i="4" s="1"/>
  <c r="G650" i="4"/>
  <c r="G649" i="4" s="1"/>
  <c r="G585" i="4" l="1"/>
  <c r="G661" i="4" l="1"/>
  <c r="G41" i="4" l="1"/>
  <c r="G26" i="4" s="1"/>
  <c r="G635" i="4" l="1"/>
  <c r="G634" i="4" s="1"/>
  <c r="G202" i="4"/>
  <c r="G201" i="4" s="1"/>
  <c r="G79" i="4" l="1"/>
  <c r="G476" i="4"/>
  <c r="G647" i="4"/>
  <c r="G646" i="4" s="1"/>
  <c r="G278" i="4"/>
  <c r="G76" i="4"/>
  <c r="G619" i="4"/>
  <c r="G75" i="4" l="1"/>
  <c r="G66" i="4"/>
  <c r="G222" i="4" l="1"/>
  <c r="G221" i="4" s="1"/>
  <c r="G633" i="4" l="1"/>
  <c r="G632" i="4" s="1"/>
  <c r="G502" i="4"/>
  <c r="G736" i="4" l="1"/>
  <c r="G734" i="4"/>
  <c r="G733" i="4" s="1"/>
  <c r="G732" i="4" s="1"/>
  <c r="G729" i="4"/>
  <c r="G725" i="4"/>
  <c r="G701" i="4"/>
  <c r="G684" i="4"/>
  <c r="G682" i="4"/>
  <c r="G660" i="4"/>
  <c r="G659" i="4" s="1"/>
  <c r="G657" i="4"/>
  <c r="G656" i="4" s="1"/>
  <c r="G655" i="4" s="1"/>
  <c r="G630" i="4"/>
  <c r="G629" i="4" s="1"/>
  <c r="G628" i="4" s="1"/>
  <c r="G627" i="4" s="1"/>
  <c r="G617" i="4"/>
  <c r="G616" i="4" s="1"/>
  <c r="G615" i="4" s="1"/>
  <c r="G614" i="4" s="1"/>
  <c r="G593" i="4"/>
  <c r="G592" i="4" s="1"/>
  <c r="G591" i="4" s="1"/>
  <c r="G589" i="4"/>
  <c r="G588" i="4" s="1"/>
  <c r="G584" i="4"/>
  <c r="G562" i="4"/>
  <c r="G561" i="4" s="1"/>
  <c r="G553" i="4"/>
  <c r="G552" i="4" s="1"/>
  <c r="G547" i="4"/>
  <c r="G546" i="4" s="1"/>
  <c r="G521" i="4"/>
  <c r="G520" i="4" s="1"/>
  <c r="G506" i="4"/>
  <c r="G681" i="4" l="1"/>
  <c r="G667" i="4" s="1"/>
  <c r="G545" i="4"/>
  <c r="G544" i="4" s="1"/>
  <c r="G519" i="4"/>
  <c r="G587" i="4"/>
  <c r="G583" i="4"/>
  <c r="G724" i="4"/>
  <c r="G723" i="4" s="1"/>
  <c r="G505" i="4"/>
  <c r="G504" i="4" s="1"/>
  <c r="G608" i="4"/>
  <c r="G607" i="4" s="1"/>
  <c r="G490" i="4"/>
  <c r="G489" i="4" s="1"/>
  <c r="G480" i="4"/>
  <c r="G472" i="4"/>
  <c r="G467" i="4" l="1"/>
  <c r="G466" i="4" s="1"/>
  <c r="G465" i="4" s="1"/>
  <c r="G419" i="4"/>
  <c r="G410" i="4"/>
  <c r="G413" i="4"/>
  <c r="G394" i="4" l="1"/>
  <c r="G393" i="4" s="1"/>
  <c r="G388" i="4" s="1"/>
  <c r="G386" i="4"/>
  <c r="G385" i="4" s="1"/>
  <c r="G383" i="4"/>
  <c r="G382" i="4" s="1"/>
  <c r="G346" i="4"/>
  <c r="G340" i="4" s="1"/>
  <c r="G333" i="4"/>
  <c r="G274" i="4"/>
  <c r="G266" i="4"/>
  <c r="G265" i="4" s="1"/>
  <c r="G238" i="4"/>
  <c r="G237" i="4" s="1"/>
  <c r="G219" i="4"/>
  <c r="G218" i="4" s="1"/>
  <c r="G213" i="4"/>
  <c r="G212" i="4" s="1"/>
  <c r="G197" i="4"/>
  <c r="G196" i="4" s="1"/>
  <c r="G195" i="4" s="1"/>
  <c r="G120" i="4"/>
  <c r="G119" i="4" s="1"/>
  <c r="G264" i="4" l="1"/>
  <c r="G250" i="4" s="1"/>
  <c r="G25" i="4"/>
  <c r="G24" i="4" s="1"/>
  <c r="G332" i="4"/>
  <c r="G331" i="4" s="1"/>
  <c r="G378" i="4"/>
  <c r="G377" i="4" s="1"/>
  <c r="G187" i="4"/>
  <c r="G152" i="4"/>
  <c r="G299" i="4"/>
  <c r="G200" i="4"/>
  <c r="G199" i="4" l="1"/>
  <c r="G700" i="4" l="1"/>
  <c r="G23" i="4" s="1"/>
  <c r="L23" i="4" s="1"/>
</calcChain>
</file>

<file path=xl/sharedStrings.xml><?xml version="1.0" encoding="utf-8"?>
<sst xmlns="http://schemas.openxmlformats.org/spreadsheetml/2006/main" count="3623" uniqueCount="519">
  <si>
    <t>01</t>
  </si>
  <si>
    <t>02</t>
  </si>
  <si>
    <t>03</t>
  </si>
  <si>
    <t>04</t>
  </si>
  <si>
    <t>05</t>
  </si>
  <si>
    <t>07</t>
  </si>
  <si>
    <t>Мероприятия по обеспечению мобилизационной готовности экономики</t>
  </si>
  <si>
    <t>08</t>
  </si>
  <si>
    <t>10</t>
  </si>
  <si>
    <t>Межбюджетные трансферты</t>
  </si>
  <si>
    <t>09</t>
  </si>
  <si>
    <t>06</t>
  </si>
  <si>
    <t>ЦСР</t>
  </si>
  <si>
    <t>ВР</t>
  </si>
  <si>
    <t>Код бюджетной классификации</t>
  </si>
  <si>
    <t>Наименование</t>
  </si>
  <si>
    <t>ВСЕГО:</t>
  </si>
  <si>
    <t>13</t>
  </si>
  <si>
    <t>Расходы на обеспечение функций муниципальных органов</t>
  </si>
  <si>
    <t>Расходы на выплату персоналу в целях обеспечения выполнения функций муниципальными органами, казенными учреждениями</t>
  </si>
  <si>
    <t>100</t>
  </si>
  <si>
    <t>Обеспечение деятельности высшего органа исполнительной власти муниципального образования Туапсинский район</t>
  </si>
  <si>
    <t>200</t>
  </si>
  <si>
    <t>Обеспечение функционирования администрации муниципального образования Туапсинский район</t>
  </si>
  <si>
    <t>Иные бюджетные ассигнования</t>
  </si>
  <si>
    <t>800</t>
  </si>
  <si>
    <t>Осуществление отдельных полномочий Краснодарского края</t>
  </si>
  <si>
    <t>Непрограммные расходы органов исполнительной власти Туапсинского района</t>
  </si>
  <si>
    <t>Финансовое обеспечение непредвиденных расходов</t>
  </si>
  <si>
    <t>Мероприятия по поддержке дорожного хозяйства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</si>
  <si>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</si>
  <si>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500</t>
  </si>
  <si>
    <t>Обеспечение деятельности контрольно-счетной палаты муниципального образования Туапсинский район</t>
  </si>
  <si>
    <t xml:space="preserve">Контрольно-счетная палата муниципального образования Туапсинский район </t>
  </si>
  <si>
    <t>Мероприятия в рамках управления имуществом Туапсинского района</t>
  </si>
  <si>
    <t xml:space="preserve">Расходы на обеспечение функций муниципальных органов </t>
  </si>
  <si>
    <t>Обеспечение деятельности представительного органа местного самоуправления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</si>
  <si>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</si>
  <si>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Резервный фонд администрации муниципального образования Туапсинский район</t>
  </si>
  <si>
    <t>Обеспечение деятельности финансового управления администрации муниципального образования Туапсинский район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</si>
  <si>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</si>
  <si>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Обеспечение деятельности администрации муниципального образования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</si>
  <si>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</si>
  <si>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</si>
  <si>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</si>
  <si>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(тыс. рублей)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</si>
  <si>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</si>
  <si>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</si>
  <si>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</si>
  <si>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Непрограммные расходы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</si>
  <si>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</si>
  <si>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Сумма</t>
  </si>
  <si>
    <t>00</t>
  </si>
  <si>
    <t>00000</t>
  </si>
  <si>
    <t>00190</t>
  </si>
  <si>
    <t>Компенсационные расходы на выплаты депутатских полномочий</t>
  </si>
  <si>
    <t>Глава муниципального образования Туапсинский район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</si>
  <si>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</si>
  <si>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60870</t>
  </si>
  <si>
    <t>52</t>
  </si>
  <si>
    <t>21210</t>
  </si>
  <si>
    <t>60890</t>
  </si>
  <si>
    <t>60910</t>
  </si>
  <si>
    <t>51200</t>
  </si>
  <si>
    <t>18</t>
  </si>
  <si>
    <t>Организация  казачьей деятельности на территории  Туапсинского района</t>
  </si>
  <si>
    <t>Реализация мероприятий в отношении казачества в Туапсинском районе</t>
  </si>
  <si>
    <t>24550</t>
  </si>
  <si>
    <t>Обеспечение деятельности казенных учреждений</t>
  </si>
  <si>
    <t>00590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</si>
  <si>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</si>
  <si>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17</t>
  </si>
  <si>
    <t>99</t>
  </si>
  <si>
    <t>11530</t>
  </si>
  <si>
    <t>Финансовое обеспечение мероприятий по поддержке сельскохозяйственного производства</t>
  </si>
  <si>
    <t>Проведение противоэпизоотических мероприятий и лечебно- профилактической работы</t>
  </si>
  <si>
    <t>61650</t>
  </si>
  <si>
    <t>16</t>
  </si>
  <si>
    <t>55</t>
  </si>
  <si>
    <t>Строительство, реконструкция, капитальный ремонт, ремонт и содержание автомобильных дорог</t>
  </si>
  <si>
    <t>21100</t>
  </si>
  <si>
    <t>1</t>
  </si>
  <si>
    <t>Повышение эффективности работы органов местного самоуправления и подведомственных организаций</t>
  </si>
  <si>
    <t>15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</si>
  <si>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</si>
  <si>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</si>
  <si>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24710</t>
  </si>
  <si>
    <t>Реализация основных направлений приоритетного национального проекта «Доступное и комфортное жилье - гражданам России»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</si>
  <si>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</si>
  <si>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24460</t>
  </si>
  <si>
    <t>4</t>
  </si>
  <si>
    <t xml:space="preserve">Комплексное информационное обеспечение деятельности органов местного самоуправления </t>
  </si>
  <si>
    <t>24750</t>
  </si>
  <si>
    <t>19</t>
  </si>
  <si>
    <t>24590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</si>
  <si>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</si>
  <si>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Процентные платежи по муниципальному долгу</t>
  </si>
  <si>
    <t>24430</t>
  </si>
  <si>
    <t>53</t>
  </si>
  <si>
    <t>Обеспечение функционирования финансового управления администрации муниципального образования Туапсинский район</t>
  </si>
  <si>
    <t>21200</t>
  </si>
  <si>
    <t>10490</t>
  </si>
  <si>
    <t>Выравнивание бюджетной обеспеченности муниципальных образований городских и сельских поселений Туапсинского района</t>
  </si>
  <si>
    <t>54</t>
  </si>
  <si>
    <t>21190</t>
  </si>
  <si>
    <t>Проведение  реконструкций и капитальных ремонтов на объектах социальной сферы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</si>
  <si>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</si>
  <si>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21590</t>
  </si>
  <si>
    <t>21600</t>
  </si>
  <si>
    <t>21610</t>
  </si>
  <si>
    <t>Обеспечение деятельности отдела по делам ГО и ЧС администрации муниципального образования Туапсинский район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</si>
  <si>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</si>
  <si>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</si>
  <si>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</si>
  <si>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24690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</si>
  <si>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</si>
  <si>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60820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</si>
  <si>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</si>
  <si>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60860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</si>
  <si>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</si>
  <si>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</si>
  <si>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Реализация мер по специальной поддержке отдельных категорий обучающихся</t>
  </si>
  <si>
    <t>24400</t>
  </si>
  <si>
    <t>62370</t>
  </si>
  <si>
    <t>Совершенствование системы организации детского оздоровительного отдыха в муниципальном образовании Туапсинский район</t>
  </si>
  <si>
    <t>24410</t>
  </si>
  <si>
    <t>60710</t>
  </si>
  <si>
    <t>24450</t>
  </si>
  <si>
    <t>Обеспечение деятельности отдела культуры администрации муниципального образования Туапсинский район</t>
  </si>
  <si>
    <t>2</t>
  </si>
  <si>
    <t>Повышения качества обучения в муниципальных детско-юношеских спортивных школах</t>
  </si>
  <si>
    <t>24500</t>
  </si>
  <si>
    <t>60740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</si>
  <si>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</si>
  <si>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Обеспечение деятельности управления по работе с молодежью администрации муниципального образования Туапсинский район</t>
  </si>
  <si>
    <t>Поддержка детей-сирот</t>
  </si>
  <si>
    <t>Формирование системы оценки качества образования и образовательных результатов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</si>
  <si>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</si>
  <si>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24330</t>
  </si>
  <si>
    <t>3</t>
  </si>
  <si>
    <t>Организация и проведение аварийно-спасательных и других неотложных работ при чрезвычайных ситуациях</t>
  </si>
  <si>
    <t>50</t>
  </si>
  <si>
    <t>51</t>
  </si>
  <si>
    <t xml:space="preserve">Расходы на обеспечение функций муниципальных органов
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</si>
  <si>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</si>
  <si>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 xml:space="preserve">Закупка товаров, работ и услуг для обеспечения государственных (муниципальных) нужд
</t>
  </si>
  <si>
    <t xml:space="preserve">Социальное обеспечение и иные выплаты населению
</t>
  </si>
  <si>
    <t>300</t>
  </si>
  <si>
    <t xml:space="preserve">Предоставление субсидий бюджетным, автономным учреждениям и иным некоммерческим организациям
</t>
  </si>
  <si>
    <t>600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</si>
  <si>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</si>
  <si>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Расходы на выплаты персоналу в целях обеспечения выполнения функций муниципальными органами, казенными учреждениями, органами управления государственными внебюджетными фондами
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</si>
  <si>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</si>
  <si>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Закупка товаров, работ и услуг для обеспечения государственных (муниципальных) нужд</t>
  </si>
  <si>
    <t>Предоставление субсидий бюджетным, автономным учреждениям и иным некоммерческим организациям</t>
  </si>
  <si>
    <t>Социальное обеспечение и иные выплаты населению</t>
  </si>
  <si>
    <t>Капитальные вложения в объекты государственной (муниципальной) собственности</t>
  </si>
  <si>
    <t>400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</si>
  <si>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</si>
  <si>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60070</t>
  </si>
  <si>
    <t>Субсидии бюджетным, автономным учреждениям и иным некоммерческим организациям</t>
  </si>
  <si>
    <t>Обслуживание муниципального долга</t>
  </si>
  <si>
    <t>700</t>
  </si>
  <si>
    <t>Обеспечение деятельности управления по развитию курортов администрации муниципального образования Туапсинский район</t>
  </si>
  <si>
    <t>20</t>
  </si>
  <si>
    <t>12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</si>
  <si>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</si>
  <si>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</si>
  <si>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24700</t>
  </si>
  <si>
    <t xml:space="preserve">18 </t>
  </si>
  <si>
    <t>24540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</si>
  <si>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</si>
  <si>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Мероприятия по укреплению правопорядка, профилактике правонарушений, усилению борьбы с преступностью</t>
  </si>
  <si>
    <t>Финансирование доплат отдельным категориям работников в образовательных организациях</t>
  </si>
  <si>
    <t>24350</t>
  </si>
  <si>
    <t>24780</t>
  </si>
  <si>
    <t>21620</t>
  </si>
  <si>
    <t>24470</t>
  </si>
  <si>
    <t>24480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</si>
  <si>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</si>
  <si>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24680</t>
  </si>
  <si>
    <t>24340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</si>
  <si>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</si>
  <si>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62500</t>
  </si>
  <si>
    <t>24800</t>
  </si>
  <si>
    <t>Продвижение санаторно-курортных и туристских возможностей Туапсинского района с применением рекламно-информационных технологий</t>
  </si>
  <si>
    <t>5</t>
  </si>
  <si>
    <t>Профилактика террористических проявлений на территории муниципального образования Туапсинский район</t>
  </si>
  <si>
    <t>24810</t>
  </si>
  <si>
    <t>Частичная компенсация удорожания стоимости питания учащихся дневных муниципальных образовательных организаций</t>
  </si>
  <si>
    <t>24840</t>
  </si>
  <si>
    <t>Социальная выплата компенсационного характера, связанная с оплатой жилого помещения по договору найма (поднайма)</t>
  </si>
  <si>
    <t>24820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</si>
  <si>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</si>
  <si>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24860</t>
  </si>
  <si>
    <t>24870</t>
  </si>
  <si>
    <t>Доплаты водителям МБУ ДО ДЮСШ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</si>
  <si>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</si>
  <si>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</si>
  <si>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21591</t>
  </si>
  <si>
    <t>21592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</si>
  <si>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</si>
  <si>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Подпрограмма «Укрепление единства российской нации на территории муниципального образования Туапсинский район»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</si>
  <si>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</si>
  <si>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Обеспечение деятельности управления ЖКХ и ТЭК</t>
  </si>
  <si>
    <t>Обеспечение деятельности муниципального бюджетного учреждения</t>
  </si>
  <si>
    <t>24880</t>
  </si>
  <si>
    <t xml:space="preserve"> </t>
  </si>
  <si>
    <t>Муниципальная программа «Развитие образования в муниципальном образовании Туапсинский район»</t>
  </si>
  <si>
    <t>Отдельные мероприятия муниципальной программы «Развитие образования в муниципальном образовании Туапсинский район»</t>
  </si>
  <si>
    <t>Финансирование расходных обязательств по заработной плате с учетом начислений АНО «Комбинат социального питания»</t>
  </si>
  <si>
    <t>Муниципальная программа  «Туапсинский район - территория комфортного проживания»</t>
  </si>
  <si>
    <t>Муниципальная программа  «Управление муниципальными финансами»</t>
  </si>
  <si>
    <t>Подпрограмма «Совершенствование межбюджетных отношений в Туапсинском районе»</t>
  </si>
  <si>
    <t>Подпрограмма «Управление муниципальным долгом»</t>
  </si>
  <si>
    <t>Муниципальная программа «Развитие культуры в Туапсинском районе»</t>
  </si>
  <si>
    <t>Отдельные мероприятия муниципальной программы «Развитие культуры в Туапсинском районе»</t>
  </si>
  <si>
    <t xml:space="preserve">Обеспечение деятельности муниципального казенного учреждения культуры «Туапсинский районный организационно-методический центр» </t>
  </si>
  <si>
    <t>Совершенствование деятельности муниципальных учреждений дополнительного образования отрасли «Культура» Туапсинского района»</t>
  </si>
  <si>
    <t>Подпрограмма «Кадровое обеспечение отрасли «Культура» муниципального образования Туапсинский район»</t>
  </si>
  <si>
    <t>Ежемесячные денежные выплаты водителям автотранспортных средств учреждений дополнительного образования отрасли «Культура»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</si>
  <si>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«Культура»</t>
  </si>
  <si>
    <t>Муниципальная программа «Развитие физической культуры и спорта в Туапсинском районе»</t>
  </si>
  <si>
    <t>Подпрограмма «Обеспечение деятельности учреждений по реализации государственной политики в сфере физической культуры и спорта на муниципальном уровне»</t>
  </si>
  <si>
    <t>Подпрограмма «Развитие детско-юношеского спорта»</t>
  </si>
  <si>
    <t>Реализация мероприятий подпрограммы «Развитие детско-юношеского спорта» муниципальной программы «Развитие физической культуры и спорта в Туапсинском районе»</t>
  </si>
  <si>
    <t>Улучшение кадрового обеспечения муниципальных учреждений дополнительного образования отрасли отрасли «Физическая культура и спорт»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</si>
  <si>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«Культура»</t>
  </si>
  <si>
    <t>Подпрограмма «Развитие массового спорта»</t>
  </si>
  <si>
    <t>Муниципальная программа «Развитие жилищно-коммунального хозяйства в муниципальном образовании  Туапсинский район»</t>
  </si>
  <si>
    <t>Отдельные мероприятия муниципальной программы «Развитие жилищно-коммунального хозяйства в муниципальном образовании Туапсинский район»</t>
  </si>
  <si>
    <t>Муниципальная программа «Функционирование органов местного самоуправления в муниципальном образовании Туапсинский район»</t>
  </si>
  <si>
    <t>Отдельные мероприятия муниципальной программы «Функционирование органов местного самоуправления в муниципальном образовании Туапсинский район»</t>
  </si>
  <si>
    <t>Муниципальная программа «Молодежь Туапсинского района»</t>
  </si>
  <si>
    <t>Отдельные мероприятия муниципальной программы «Молодежь Туапсинского района»</t>
  </si>
  <si>
    <t>Обеспечение деятельности и организация работы муниципального казенного учреждения «Молодежный центр Туапсинского района»</t>
  </si>
  <si>
    <t>Ведомственная целевая программа «Развитие агропромышленного комплекса на территории муниципального образования Туапсинский район»</t>
  </si>
  <si>
    <t>Отдельные мероприятия ведомственной целевой программы «Развитие агропромышленного комплекса на территории муниципального образования Туапсинский район»</t>
  </si>
  <si>
    <t>Муниципальная программа «По улучшению положения детей в муниципальном образовании Туапсинский район»</t>
  </si>
  <si>
    <t>Подпрограмма «Дети-сироты»</t>
  </si>
  <si>
    <t>Подпрограмма «Организация отдыха, оздоровления и занятости детей и подростков»</t>
  </si>
  <si>
    <t xml:space="preserve">Муниципальная программа  «Содействие развитию гражданского общества и гармонизации межнациональных отношений» 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</si>
  <si>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«Содействие развитию гражданского общества и гармонизации межнациональных отношений»</t>
  </si>
  <si>
    <t>Муниципальная программа  «Защита населения и территории от чрезвычайных ситуаций, обеспечение пожарной безопасности»</t>
  </si>
  <si>
    <t>Подпрограмма «Мероприятия по предупреждению и ликвидации чрезвычайных ситуаций, стихийных бедствий и их последствий»</t>
  </si>
  <si>
    <t>Подпрограмма «Обеспечение пожарной безопасности»</t>
  </si>
  <si>
    <t>Подпрограмма «Служба - 112»</t>
  </si>
  <si>
    <t>Подпрограмма «Профилактика терроризма на территории муниципального образования Туапсинский район»</t>
  </si>
  <si>
    <t>Муниципальная программа «Управление муниципальной собственностью»</t>
  </si>
  <si>
    <t>Обеспечение деятельности муниципального бюджетного учреждения «Комитет земельных отношений»</t>
  </si>
  <si>
    <t>Реализация мероприятий муниципальной программы «Управление муниципальной собственностью»</t>
  </si>
  <si>
    <t>Муниципальная программа «Экономическое развитие Туапсинского района»</t>
  </si>
  <si>
    <t>Подпрограмма «Формирование инвестиционной привлекательности муниципального образования Туапсинский район»</t>
  </si>
  <si>
    <t>Реализация мероприятий подпрограммы «Формирование инвестиционной привлекательности муниципального образования Туапсинский район» муниципальной программы «Экономическое развитие Туапсинского района»</t>
  </si>
  <si>
    <t>Подпрограмма «Жилище»</t>
  </si>
  <si>
    <t>Подпрограмма «Информационное обеспечение населения муниципального образования Туапсинский район»</t>
  </si>
  <si>
    <t>Реализация мероприятий подпрограммы «Информационное обеспечение населения муниципального образования Туапсинский район» муниципальной программы «Экономическое развитие Туапсинского района»</t>
  </si>
  <si>
    <t>Муниципальная программа «Обеспечение безопасности населения Туапсинского района»</t>
  </si>
  <si>
    <t>Подпрограмма «Укрепление правопорядка, профилактика правонарушений, усиление борьбы с преступностью и противодействие коррупции в Туапсинском районе»</t>
  </si>
  <si>
    <t>Муниципальная программа «Социальная поддержка отдельных категорий граждан муниципального образования Туапсинский район»</t>
  </si>
  <si>
    <t>Отдельные мероприятия муниципальной программы «Социальная поддержка отдельных категорий граждан муниципального образования Туапсинский район»</t>
  </si>
  <si>
    <t>Реализация мероприятий муниципальной программы «Социальная поддержка отдельных категорий граждан муниципального образования Туапсинский район»</t>
  </si>
  <si>
    <t>Создание условий для поддержания благосостояния отдельных категорий граждан и повышение доступности социального обслуживания населения</t>
  </si>
  <si>
    <t>Муниципальная программа «Развитие санаторно-курортного и туристского комплекса муниципального образования Туапсинский район»</t>
  </si>
  <si>
    <t>Отдельные мероприятия муниципальной программы «Развитие санаторно-курортного и туристского комплекса муниципального образования Туапсинский район»</t>
  </si>
  <si>
    <t>Обеспечение деятельности и организация работы муниципального бюджетного учреждения «Центр развития пляжного отдыха и туризма Туапсинского района»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</si>
  <si>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</si>
  <si>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Реализация мероприятий подпрограммы «Развитие массового спорта» муниципальной программы «Развитие физической культуры и спорта в Туапсинском районе»</t>
  </si>
  <si>
    <t>Реализация мероприятий муниципальной программы «Развитие санаторно-курортного и туристского комплекса муниципального образования Туапсинский район»</t>
  </si>
  <si>
    <t>24900</t>
  </si>
  <si>
    <t>Реализация мероприятий по Укреплению межрегиональных и межмуниципальных отношений в области курортного дела и туризма</t>
  </si>
  <si>
    <t>Укрепление межрегиональных и межмуниципальных отношений в области курортного дела и туризма</t>
  </si>
  <si>
    <t>60220</t>
  </si>
  <si>
    <t>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</t>
  </si>
  <si>
    <t>Расходы на обеспечение деятельности (оказание услуг) подведомственных учреждений по передаваемым полномочиям поселений (в части создания и содержания единой дежурно-диспетчерской службы)</t>
  </si>
  <si>
    <t>21593</t>
  </si>
  <si>
    <t>Реализация расходных обязательств по выравниванию бюджетной обеспеченности поселений из районного фонда финансовой поддержки</t>
  </si>
  <si>
    <t>23030</t>
  </si>
  <si>
    <t>Реализация мероприятий по обеспечению жильем молодых семей</t>
  </si>
  <si>
    <t>L4970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</si>
  <si>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</si>
  <si>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21180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</si>
  <si>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«Культура» Туапсинского района»</t>
  </si>
  <si>
    <t xml:space="preserve">Подпрограмма « Культура Туапсинского района» </t>
  </si>
  <si>
    <t>Реализация мероприятий подпрограммы «Профилактика терроризма на территории муниципального образования Туапсинский район» муниципальной программы «Защита населения и территории от чрезвычайных ситуаций, обеспечение пожарной безопасности»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</si>
  <si>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детей, оставшихся без попечения родителей, лиц из числа детей сирот и детей, оставшихся без попечения родителей, лиц, относившихся к категории детей сирот и детей, оставшихся без попечения родителей, подлежащих обеспечению жилыми помещениями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</si>
  <si>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</si>
  <si>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C0820</t>
  </si>
  <si>
    <t>24640</t>
  </si>
  <si>
    <t>24360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</si>
  <si>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</si>
  <si>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указанной государственной итоговой аттестации,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</si>
  <si>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</si>
  <si>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</si>
  <si>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Осуществление отдельных государственных полномочий по выплате ежемесячных денежных средств на содержание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</t>
  </si>
  <si>
    <t>Осуществление отдельных государственных полномочий по выплате ежемесячного вознаграждения, причитающегося приемным родителям за оказание услуг по воспитанию приемных детей</t>
  </si>
  <si>
    <t>Осуществление отдельных полномочий Краснодарского края по организации и осуществлению деятельности по опеке и попечительству в отношении несовершеннолетних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</si>
  <si>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</si>
  <si>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21240</t>
  </si>
  <si>
    <t>Прочие выплаты по обязательствам муниципального образования</t>
  </si>
  <si>
    <t>24650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</si>
  <si>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</si>
  <si>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24320</t>
  </si>
  <si>
    <t>Проведение капитального ремонта спортивных залов</t>
  </si>
  <si>
    <t>Дополнительная помощь местным бюджетам для решения социально значимых вопросов</t>
  </si>
  <si>
    <t>24850</t>
  </si>
  <si>
    <t>24920</t>
  </si>
  <si>
    <t>Создание благоприятных условий для развития малого и среднего предпринимательства в Туапсинском район</t>
  </si>
  <si>
    <t>51690</t>
  </si>
  <si>
    <t>Обновление материально-технической базы для формирования у обучающихся современных технологических и гуманитарных навыков</t>
  </si>
  <si>
    <t>Капитальный ремонт зданий и сооружений, благоустройство территории</t>
  </si>
  <si>
    <t>24610</t>
  </si>
  <si>
    <t>Поддержка сельскохозяйственного производства в Туапсинском районе</t>
  </si>
  <si>
    <t>24600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</si>
  <si>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</si>
  <si>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S2820</t>
  </si>
  <si>
    <t xml:space="preserve">Муниципальная программа «Доступная среда муниципального образования Туапсинский район» </t>
  </si>
  <si>
    <t xml:space="preserve">Отдельные мероприятия муниципальной программы «Доступная среда муниципального образования Туапсинский район» </t>
  </si>
  <si>
    <t>Осуществление отдельных государственных полномочий Краснодарского края по поддержке сельскохозяйственного производства</t>
  </si>
  <si>
    <t>Обеспечение условий для развития физической культуры и массового спорта в части оплаты труда инструкторов по спорту</t>
  </si>
  <si>
    <t>Обеспечение проведения независимой оценки качества условий осуществления образовательной деятельности</t>
  </si>
  <si>
    <t>24370</t>
  </si>
  <si>
    <t>24380</t>
  </si>
  <si>
    <t>Осуществление отдельных государственных полномочий Краснодарского края по обеспечению отдыха детей в каникулярное время в профильных лагерях, организованных муниципальными общеобразовательными организациями Краснодарского края</t>
  </si>
  <si>
    <t>63110</t>
  </si>
  <si>
    <t>Обеспечение жилыми помещениями детей-сирот и детей, оставшихся без попечения родителей, а также лиц из их числа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</si>
  <si>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</t>
  </si>
  <si>
    <t>Финансирование расходных обязательств по укреплению материально-технической базы (технологического, холодильного, пищевого оборудования), мебель для школьных и детских столовых. Приобретение специализированного транспорта для осуществления подвоза горячего питания, а так же приобретение прочих материальных запасов.</t>
  </si>
  <si>
    <t>62955</t>
  </si>
  <si>
    <t>Поддержка местных инициатив по итогам краевого конкурса</t>
  </si>
  <si>
    <t>Внедрение и развитие инструментов инициативного бюджетирования на территории Туапсинский район</t>
  </si>
  <si>
    <t>L3040</t>
  </si>
  <si>
    <t>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</t>
  </si>
  <si>
    <t>Доведение до МРОТ отдельные категории работников</t>
  </si>
  <si>
    <t>26000</t>
  </si>
  <si>
    <t>Развитие общественной инфраструктуры муниципального значения</t>
  </si>
  <si>
    <t>S0470</t>
  </si>
  <si>
    <t>Подпрограмма «Поддержка социально ориентированных реестровых казачьих обществ Туапсинского района»</t>
  </si>
  <si>
    <t>24420</t>
  </si>
  <si>
    <t>24940</t>
  </si>
  <si>
    <t xml:space="preserve">Меры социальной поддержки детям инвалидам и ОВЗ в части предоставления компенсации за набор продуктов из расчета двухразового питания  </t>
  </si>
  <si>
    <t>Доведение до МРОТ отдельных категорий работников</t>
  </si>
  <si>
    <t>Реализация мероприятий подпрограммы «Организация отдыха, оздоровления и занятости детей и подростков» муниципальной программы «По улучшению положения детей в муниципальном образовании Туапсинский район»</t>
  </si>
  <si>
    <t>Подпрограмма «Одаренные дети»</t>
  </si>
  <si>
    <t>Реализация мероприятий подпрограммы «Одаренные дети» муниципальной программы «По улучшению положения детей в муниципальном образовании Туапсинский район»</t>
  </si>
  <si>
    <t>Подпрограмма «Поддержка малого и среднего предпринимательства на территории муниципального образования Туапсинский район»</t>
  </si>
  <si>
    <t>Реализация мероприятий подпрограммы «Поддержка малого и среднего предпринимательства на территории муниципального образования Туапсинский район»</t>
  </si>
  <si>
    <t xml:space="preserve">Реализация мероприятий муниципальной программы «Развитие образования в муниципальном образовании Туапсинский район» </t>
  </si>
  <si>
    <t>Реализация мероприятий муниципальной программы  «Туапсинский район - территория комфортного проживания»</t>
  </si>
  <si>
    <t xml:space="preserve">Реализация мероприятий  подпрограммы «Кадровое обеспечение отрасли «Культура» муниципальной программы «Развитие культуры Туапсинского района» </t>
  </si>
  <si>
    <t>Реализация мероприятий  подпрограммы «Культура Туапсинского района« муниципальной программы «Развитие культуры Туапсинского района»</t>
  </si>
  <si>
    <t>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«Физическая культура и спорт» и муниципальных организаций дополнительного образования, реализующих дополнительные общеобразовательные программы в области физической культуры и спорта, отрасли «Образование»</t>
  </si>
  <si>
    <t>Реализация мероприятий муниципальной программы  «Молодежь Туапсинского района»</t>
  </si>
  <si>
    <t>Реализация мероприятий  ведомственной целевой программы «Развитие агропромышленного комплекса на территории муниципального образования Туапсинский район»</t>
  </si>
  <si>
    <t xml:space="preserve"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«Содействие развитию гражданского общества и гармонизации межнациональных отношений» </t>
  </si>
  <si>
    <t>С3040</t>
  </si>
  <si>
    <t>Финансирование расходных обязательств услуги по организации питания (наценка) обучающихся по образовательным программам начального общего образования в муниципальных образовательных организациях</t>
  </si>
  <si>
    <t>24310</t>
  </si>
  <si>
    <t>Обеспечение проведения ГИА, ЕГЭ</t>
  </si>
  <si>
    <t>Развитие общественной инфраструктуры муниципального значения сверх сумм софинансирования</t>
  </si>
  <si>
    <t>С0470</t>
  </si>
  <si>
    <t>24390</t>
  </si>
  <si>
    <t>Финансирование расходных обязательств по укреплению материально-технической базы (приобретение оборудования и мебели)</t>
  </si>
  <si>
    <t xml:space="preserve">01 </t>
  </si>
  <si>
    <t>27000</t>
  </si>
  <si>
    <t>Реализация мер по обеспечению доступа населения Туапсинского района к качественным услугам дошкольного, общего образования и дополнительного образования детей</t>
  </si>
  <si>
    <t>Организация подвоза обучающихся, проживающих на территории Туапсинского района, в муниципальные образования Краснодарского края</t>
  </si>
  <si>
    <t>A1</t>
  </si>
  <si>
    <t>55190</t>
  </si>
  <si>
    <t>Федеральный проект  «Культурная среда»</t>
  </si>
  <si>
    <t>Государственная поддержка отрасли культуры</t>
  </si>
  <si>
    <t>S3310</t>
  </si>
  <si>
    <t>Обеспечение жителей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(или) муниципальных учреждений дополнительного образования детей (детских музыкальных школ, художественных школ, школ искусств, домов детского творчества)</t>
  </si>
  <si>
    <t>S3380</t>
  </si>
  <si>
    <t>Диспансеризация сотрудников отраслевых (функциональных) органов</t>
  </si>
  <si>
    <t>24571</t>
  </si>
  <si>
    <t>Укрепление материально-технической базы и оборотных средств отраслевых (функциональных) органов</t>
  </si>
  <si>
    <t>24574</t>
  </si>
  <si>
    <t>Приобретение системного программного обеспечения и техническое сопровождение программных продуктов</t>
  </si>
  <si>
    <t>24573</t>
  </si>
  <si>
    <t>Обучение сотрудников отраслевых (функциональных) органов</t>
  </si>
  <si>
    <t>24572</t>
  </si>
  <si>
    <t>25000</t>
  </si>
  <si>
    <t>Архитектура и градостроительство</t>
  </si>
  <si>
    <t>Выполнение работ по внесению изменений в генеральные планы сельских поселений и в схемы территориального планирования Туапсинского района</t>
  </si>
  <si>
    <t>Реализация мероприятий в области архитектуры и градостроительства</t>
  </si>
  <si>
    <t>24790</t>
  </si>
  <si>
    <t>Совершенствование противопожарной защиты населения и объектов инфраструктуры</t>
  </si>
  <si>
    <t>R0820</t>
  </si>
  <si>
    <t>S3550</t>
  </si>
  <si>
    <t>Организация и обеспечение бесплатным горячим питанием обучающихся с ограниченными возможностями здоровья в муниципальных общеобразовательных организациях</t>
  </si>
  <si>
    <t>S3410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</si>
  <si>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(капитальный ремонт зданий и сооружений, благоустройство территорий, прилегающих к зданиям и сооружениям муниципальных образовательных организаций)</t>
  </si>
  <si>
    <t>53032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</si>
  <si>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(субвенции на осуществление отдельных государственных полномочий Краснодарского края на обеспечение выплат ежемесячного денежного вознаграждения за классное руководство педагогическим работникам муниципальных общеобразовательных организаций)</t>
  </si>
  <si>
    <t>63540</t>
  </si>
  <si>
    <t>Осуществление отдельных государственных полномочий по обеспечению бесплатным двухразовым питанием детей инвалидов (инвалидов), не являющихся обучающимися с ограниченными возможностями здоровья, получающих начальное общее, основное общее и среднее общее образование в муниципальных общеобразовательных организациях</t>
  </si>
  <si>
    <t>00591</t>
  </si>
  <si>
    <t>Обеспечение функционирования модели персонифицированного финансирования дополнительного образования детей</t>
  </si>
  <si>
    <t>69200</t>
  </si>
  <si>
    <t>Осуществление отдельных государственных полномочий Краснодарского края по организации и обеспечению отдыха и оздоровления детей (за исключением организации отдыха детей в каникулярное время)</t>
  </si>
  <si>
    <t>69100</t>
  </si>
  <si>
    <t>69130</t>
  </si>
  <si>
    <t>69120</t>
  </si>
  <si>
    <t>69190</t>
  </si>
  <si>
    <t>69180</t>
  </si>
  <si>
    <t>69170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</si>
  <si>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(капитальный ремонт зданий и сооружений, благоустройство территорий, прилегающих к зданиям и сооружениям муниципальных образовательных организаций) сверх сумм софинансирования</t>
  </si>
  <si>
    <t>С3410</t>
  </si>
  <si>
    <t>Осуществление отдельных полномочий по созданию и организации деятельности комиссий по делам несовершеннолетних и защите их прав</t>
  </si>
  <si>
    <t>25200</t>
  </si>
  <si>
    <t>Предупреждение банкротства и проведение процедуры ликвидации муниципальных унитарных предприятий муниципального образования Туапсинский район</t>
  </si>
  <si>
    <t>S3570</t>
  </si>
  <si>
    <t>Укрепление материально-технической базы муниципальных физкультурно-спортивных организаций</t>
  </si>
  <si>
    <t>L5190</t>
  </si>
  <si>
    <t>Комплектование книжных фондов муниципальных общедоступных библиотек Туапсинского района</t>
  </si>
  <si>
    <t>62980</t>
  </si>
  <si>
    <t>21594</t>
  </si>
  <si>
    <t>Расходы на обеспечение деятельности (оказание услуг) подведомственных учреждений по передаваемым полномочиям поселений (содержания сегмента системы обеспечения вызова экстренных оперативных служб по единому номеру «112»)</t>
  </si>
  <si>
    <t>С3370</t>
  </si>
  <si>
    <t>24770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</si>
  <si>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для создания новых мест в общеобразовательных организациях (приобретение движимого имущества для оснащения вновь созданных мест в муниципальных общеобразовательных организациях) сверх сумм софинансирования</t>
  </si>
  <si>
    <t>Обеспечение деятельности управления транспорта и дорожного хозяйства администрации муниципального образования Туапсинский район</t>
  </si>
  <si>
    <t>Расходы на обеспечение деятельности (оказание услуг) муниципальных учреждений, в том числе по передаваемым полномочиям поселений (в части создания резерва материальных ресурсов)</t>
  </si>
  <si>
    <t>24560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</si>
  <si>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</si>
  <si>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S3490</t>
  </si>
  <si>
    <t>Создание условий для содержания детей дошкольного возраста в муниципальных образовательных организациях (приобретение движимого имущества, необходимого для обеспечения функционирования вновь созданных и (или) создаваемых мест в муниципальных образовательных организациях, в том числе для размещения детей в возрасте до 3 лет)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</si>
  <si>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(капитальный ремонт и переоснащение пищевых блоков муниципальных общеобразовательных организаций)</t>
  </si>
  <si>
    <t>24670</t>
  </si>
  <si>
    <t>Подпрограмма «Гармонизация межнациональных отношений и развития национальных культур муниципального образования Туапсинский район»</t>
  </si>
  <si>
    <t>Создание условий для национально-культурного развития, обеспечения и приумножение духовного и культурного потенциала многонационального народа Туапсинского района</t>
  </si>
  <si>
    <t>Реализация мероприятий подпрограммы «Гармонизация межнациональных отношений и развития национальных культур муниципального образования Туапсинский район» муниципальной программы «Содействие развитию гражданского общества и гармонизации межнациональных отношений»</t>
  </si>
  <si>
    <t>69110</t>
  </si>
  <si>
    <t>69140</t>
  </si>
  <si>
    <t>69160</t>
  </si>
  <si>
    <t>Осуществление отдельных государственных полномочий по выплате ежемесячных денежных средств на содержание детей, нуждающихся в особой заботе государства, переданных на патронатное воспитание</t>
  </si>
  <si>
    <t>Осуществление отдельных государственных полномочий по выплате ежемесячного вознаграждения, причитающегося патронатным воспитателям за оказание услуг по осуществлению патронатного воспитания и постинтернатного сопровождения</t>
  </si>
  <si>
    <t>Осуществление отдельных государственных полномочий по выплате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в том числе на оплату услуг, необходимых для ее осуществления, за исключением жилых помещений, приобретенных за счет средств краевого бюджета</t>
  </si>
  <si>
    <t>63640</t>
  </si>
  <si>
    <t>Осуществление отдельного государственного полномочия по осуществлению регионального государственного строительного надзора в случаях, предусмотренных частью 2 статьи 54 Градостроительного кодекса Российской Федерации</t>
  </si>
  <si>
    <t>S0250</t>
  </si>
  <si>
    <t>Создание системы комплексного обеспечения безопасности жизнедеятельности</t>
  </si>
  <si>
    <t>Подпрограмма «Создание системы комплексного обеспечения безопасности жизнедеятельности на территории муниципального образования Туапсинский район»</t>
  </si>
  <si>
    <t>Организация и осуществление мероприятий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</si>
  <si>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Предоставление субсидий на учреждения деятельность которых приостановлена</t>
  </si>
  <si>
    <t xml:space="preserve">Участие в предупреждении чрезвычайных ситуаций в части развития систем видеонаблюдения муниципального образования (приобретение камер обзорного видеонаблюдения)  </t>
  </si>
  <si>
    <t>Обеспечение учреждений социальной сферы приборами учета тепловой энергии</t>
  </si>
  <si>
    <t>24520</t>
  </si>
  <si>
    <t>24510</t>
  </si>
  <si>
    <t>240</t>
  </si>
  <si>
    <t>РАСПРЕДЕЛЕНИЕ БЮДЖЕТНЫХ АССИГНОВАНИЙ 
по целевым статьям  (муниципальным программам
муниципального образования Туапсинский район и 
непрограммным направлениям деятельности), группам
видов расходов классификации расходов бюджета на 2023 год</t>
  </si>
  <si>
    <t>Федеральный проект «Культурная среда»</t>
  </si>
  <si>
    <t>Подготовка изменений в правила землепользования и застройки муниципальных образований Краснодарского края</t>
  </si>
  <si>
    <t>S2570</t>
  </si>
  <si>
    <t>Поддержка мер по обеспечению сбалансированности поселений Туапсинского района</t>
  </si>
  <si>
    <t>23040</t>
  </si>
  <si>
    <t>Дотации на поддержку мер по обеспечению сбалансированности поселений Туапсинского района</t>
  </si>
  <si>
    <t>Организация бесплатного питания детей мобилизованных граждан</t>
  </si>
  <si>
    <t>24980</t>
  </si>
  <si>
    <t>Лицензирование медицинских кабинетов</t>
  </si>
  <si>
    <t>24440</t>
  </si>
  <si>
    <t>11</t>
  </si>
  <si>
    <t>Организация и проведение социально значимых мероприятий, направленных на поддержку семей и детей, укрепление семейных ценностей и традиций</t>
  </si>
  <si>
    <t>24620</t>
  </si>
  <si>
    <t>Обеспечение деятельности учреждений физической культуры и спорта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</si>
  <si>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(проведение капитального ремонта спортивных залов муниципальных общеобразовательных организаций, помещений при них, других помещений физкультурно спортивного назначения, физкультурно оздоровительных комплексов)</t>
  </si>
  <si>
    <t>S0100</t>
  </si>
  <si>
    <t>Обеспечение оснащения государственных и муниципальных общеобразовательных организаций, в том числе структурных подразделений указанных организаций, государственными символами Российской Федерации</t>
  </si>
  <si>
    <t>ЕВ</t>
  </si>
  <si>
    <t>57860</t>
  </si>
  <si>
    <t>L7500</t>
  </si>
  <si>
    <t>Реализация мероприятий по модернизации школьных систем образования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</si>
  <si>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</si>
  <si>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51790</t>
  </si>
  <si>
    <t>».</t>
  </si>
  <si>
    <t>Размещение и питание граждан Российской Федерации, иностранных граждан и лиц без гражданства, вынужденно покинувших территории Запорожской и Херсонской областей, прибывших на территорию Краснодарского края в экстренном массовом порядке, находившихся и находящихся в средствах временного размещения и питания</t>
  </si>
  <si>
    <t>63690</t>
  </si>
  <si>
    <t>С7500</t>
  </si>
  <si>
    <t>Реализация мероприятий по модернизации школьных систем образования сверх сумм софинансирования</t>
  </si>
  <si>
    <t>Аренда складского помещения</t>
  </si>
  <si>
    <t>24740</t>
  </si>
  <si>
    <t>24990</t>
  </si>
  <si>
    <t>Компенсация за одноразовое горячее питание детей-инвалидов, которые из-за болезни не могут посещать школу</t>
  </si>
  <si>
    <t>24530</t>
  </si>
  <si>
    <t>Мероприятия по переводу котельных муниципальных учреждений на природный газ</t>
  </si>
  <si>
    <t>24505</t>
  </si>
  <si>
    <t>Укрепление материально-технической базы спортивных школ</t>
  </si>
  <si>
    <t>62590</t>
  </si>
  <si>
    <t>Средства резервного фонда администрации Краснодарского края</t>
  </si>
  <si>
    <t>Расходы на обеспечение функций органов местного самоуправления по передаваемым полномочиям поселений (по созданию условий для предоставления транспортных услуг населению и организации транспортного обслуживания населения в границах поселения)</t>
  </si>
  <si>
    <t>12030</t>
  </si>
  <si>
    <t>Проведение выборов в Совет муниципального образования Туапсинский район</t>
  </si>
  <si>
    <t>Проведение выборов в представительный орган местного самоуправления муниципального образования Туапсинский район</t>
  </si>
  <si>
    <t>С0100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</si>
  <si>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(проведение капитального ремонта спортивных залов муниципальных общеобразовательных организаций, помещений при них, других помещений физкультурно- спортивного назначения, физкультурно- оздоровительных комплексов) сверх сумм софинансирования</t>
  </si>
  <si>
    <t>S2400</t>
  </si>
  <si>
    <t>Резервный фонд администрации Краснодарского края</t>
  </si>
  <si>
    <t>21191</t>
  </si>
  <si>
    <t>Федеральный проект «Патриотическое воспитание граждан Российской Федерации«</t>
  </si>
  <si>
    <t>Реализация мероприятий муниципальной программы «Развитие жилищно-коммунального хозяйства в муниципальном образовании Туапсинский район«</t>
  </si>
  <si>
    <t>Предоставление субсидий при процедуре ликвидации МУП «Архитектурно-градостроительный центр Туапсинского района« в целях сохранения муниципального имущества муниципального образования Туапсинский район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</si>
  <si>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«Сириус»</t>
  </si>
  <si>
    <t>Подпрограмма «Дети и семья»</t>
  </si>
  <si>
    <t>Реализация мероприятий подпрограммы «Дети и семья« муниципальной программы «По улучшению положения детей в муниципальном образовании Туапсинский район»</t>
  </si>
  <si>
    <t>Муниципальная программа «Обеспечение перевозок обучающихся в образовательных учреждениях и учреждениях социальной сферы»</t>
  </si>
  <si>
    <t>Отдельные мероприятия муниципальной программы «Обеспечение перевозок обучающихся в образовательных учреждениях и учреждениях социальной сферы»</t>
  </si>
  <si>
    <t>Реализация мероприятий подпрограммы «Обеспечение пожарной безопасности« муниципальной программы «Защита населения и территории от чрезвычайных ситуаций, обеспечение пожарной безопасности»</t>
  </si>
  <si>
    <t>Реализация мероприятий муниципальной программы «Доступная среда муниципального образования Туапсинский район»</t>
  </si>
  <si>
    <t>С3570</t>
  </si>
  <si>
    <t>Укрепление материально-технической базы муниципальных физкультурно-спортивных организаций сверх сумм софинансирования</t>
  </si>
  <si>
    <t>Начальник финансового управления 
администрации муниципального 
образования Туапсинский район</t>
  </si>
  <si>
    <t>Ю.Н. Кулакова</t>
  </si>
  <si>
    <t>Резервный фонд администрации Краснодарского края (сверх сумм софинансирования)</t>
  </si>
  <si>
    <t>С2400</t>
  </si>
  <si>
    <t>6</t>
  </si>
  <si>
    <t>Подпрограмма "Развитие агропромышленного комплекса на территории муниципального образования Туапсинский район"</t>
  </si>
  <si>
    <t>Реализация мероприятий подпрограммы «Развитие агропромышленного комплекса на территории муниципального образования Туапсинский район»</t>
  </si>
  <si>
    <t>Обеспечение автономными дымовыми пожарными извещателями мест проживания малоимущих многодетных семей и семей, находящихся в трудной жизненной ситуации, в социально опасном положении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</si>
</sst>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р_._-;\-* #,##0.00_р_._-;_-* &quot;-&quot;??_р_._-;_-@_-"/>
    <numFmt numFmtId="164" formatCode="0.0"/>
    <numFmt numFmtId="165" formatCode="#,##0.0"/>
    <numFmt numFmtId="166" formatCode="#,##0.00&quot;р.&quot;"/>
    <numFmt numFmtId="167" formatCode="#,##0.00\ _₽"/>
  </numFmts>
  <fonts count="28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1" applyNumberFormat="0" applyAlignment="0" applyProtection="0"/>
    <xf numFmtId="0" fontId="8" fillId="20" borderId="2" applyNumberFormat="0" applyAlignment="0" applyProtection="0"/>
    <xf numFmtId="0" fontId="9" fillId="20" borderId="1" applyNumberFormat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21" borderId="7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2" fillId="0" borderId="0" applyFont="0" applyFill="0" applyBorder="0" applyAlignment="0" applyProtection="0"/>
    <xf numFmtId="0" fontId="21" fillId="4" borderId="0" applyNumberFormat="0" applyBorder="0" applyAlignment="0" applyProtection="0"/>
    <xf numFmtId="0" fontId="23" fillId="0" borderId="0"/>
    <xf numFmtId="0" fontId="24" fillId="0" borderId="0"/>
    <xf numFmtId="9" fontId="22" fillId="0" borderId="0" applyFont="0" applyFill="0" applyBorder="0" applyAlignment="0" applyProtection="0"/>
    <xf numFmtId="0" fontId="24" fillId="0" borderId="0"/>
  </cellStyleXfs>
  <cellXfs count="64">
    <xf numFmtId="0" fontId="0" fillId="0" borderId="0" xfId="0"/>
    <xf numFmtId="0" fontId="2" fillId="24" borderId="0" xfId="0" applyFont="1" applyFill="1" applyAlignment="1">
      <alignment vertical="top"/>
    </xf>
    <xf numFmtId="4" fontId="2" fillId="24" borderId="0" xfId="0" applyNumberFormat="1" applyFont="1" applyFill="1" applyAlignment="1">
      <alignment vertical="top"/>
    </xf>
    <xf numFmtId="0" fontId="0" fillId="24" borderId="0" xfId="0" applyFill="1" applyAlignment="1">
      <alignment vertical="top"/>
    </xf>
    <xf numFmtId="0" fontId="2" fillId="24" borderId="0" xfId="0" applyFont="1" applyFill="1" applyAlignment="1">
      <alignment horizontal="justify" vertical="top"/>
    </xf>
    <xf numFmtId="0" fontId="3" fillId="24" borderId="0" xfId="0" applyFont="1" applyFill="1" applyBorder="1" applyAlignment="1">
      <alignment horizontal="justify" vertical="top" wrapText="1"/>
    </xf>
    <xf numFmtId="0" fontId="2" fillId="24" borderId="0" xfId="0" applyFont="1" applyFill="1" applyAlignment="1">
      <alignment horizontal="center" vertical="top"/>
    </xf>
    <xf numFmtId="49" fontId="2" fillId="24" borderId="0" xfId="0" applyNumberFormat="1" applyFont="1" applyFill="1" applyAlignment="1">
      <alignment horizontal="center" vertical="top"/>
    </xf>
    <xf numFmtId="164" fontId="25" fillId="24" borderId="0" xfId="0" applyNumberFormat="1" applyFont="1" applyFill="1" applyAlignment="1">
      <alignment horizontal="center" vertical="top"/>
    </xf>
    <xf numFmtId="49" fontId="3" fillId="24" borderId="0" xfId="0" applyNumberFormat="1" applyFont="1" applyFill="1" applyBorder="1" applyAlignment="1">
      <alignment horizontal="center" vertical="top"/>
    </xf>
    <xf numFmtId="0" fontId="3" fillId="24" borderId="0" xfId="0" applyFont="1" applyFill="1" applyBorder="1" applyAlignment="1">
      <alignment horizontal="center" vertical="top"/>
    </xf>
    <xf numFmtId="164" fontId="3" fillId="24" borderId="0" xfId="0" applyNumberFormat="1" applyFont="1" applyFill="1" applyBorder="1" applyAlignment="1">
      <alignment horizontal="center" vertical="top"/>
    </xf>
    <xf numFmtId="0" fontId="25" fillId="24" borderId="0" xfId="0" applyFont="1" applyFill="1" applyBorder="1" applyAlignment="1">
      <alignment horizontal="justify" vertical="top" wrapText="1"/>
    </xf>
    <xf numFmtId="49" fontId="25" fillId="24" borderId="0" xfId="0" applyNumberFormat="1" applyFont="1" applyFill="1" applyBorder="1" applyAlignment="1">
      <alignment horizontal="center" vertical="top"/>
    </xf>
    <xf numFmtId="165" fontId="3" fillId="24" borderId="0" xfId="0" applyNumberFormat="1" applyFont="1" applyFill="1" applyBorder="1" applyAlignment="1">
      <alignment horizontal="right" vertical="top"/>
    </xf>
    <xf numFmtId="0" fontId="3" fillId="24" borderId="0" xfId="0" applyFont="1" applyFill="1" applyAlignment="1">
      <alignment horizontal="justify" wrapText="1"/>
    </xf>
    <xf numFmtId="0" fontId="3" fillId="24" borderId="0" xfId="0" applyFont="1" applyFill="1" applyAlignment="1">
      <alignment horizontal="center" vertical="top"/>
    </xf>
    <xf numFmtId="0" fontId="3" fillId="24" borderId="0" xfId="0" applyFont="1" applyFill="1" applyAlignment="1">
      <alignment horizontal="justify"/>
    </xf>
    <xf numFmtId="49" fontId="25" fillId="0" borderId="10" xfId="0" applyNumberFormat="1" applyFont="1" applyFill="1" applyBorder="1" applyAlignment="1">
      <alignment horizontal="center" vertical="top"/>
    </xf>
    <xf numFmtId="49" fontId="25" fillId="0" borderId="10" xfId="0" applyNumberFormat="1" applyFont="1" applyFill="1" applyBorder="1" applyAlignment="1">
      <alignment horizontal="center" vertical="top" wrapText="1"/>
    </xf>
    <xf numFmtId="165" fontId="25" fillId="0" borderId="10" xfId="0" applyNumberFormat="1" applyFont="1" applyFill="1" applyBorder="1" applyAlignment="1">
      <alignment horizontal="center" vertical="top"/>
    </xf>
    <xf numFmtId="0" fontId="25" fillId="0" borderId="10" xfId="0" applyFont="1" applyFill="1" applyBorder="1" applyAlignment="1">
      <alignment horizontal="center" vertical="top" wrapText="1"/>
    </xf>
    <xf numFmtId="165" fontId="2" fillId="24" borderId="0" xfId="0" applyNumberFormat="1" applyFont="1" applyFill="1" applyAlignment="1">
      <alignment vertical="top"/>
    </xf>
    <xf numFmtId="164" fontId="3" fillId="24" borderId="0" xfId="0" applyNumberFormat="1" applyFont="1" applyFill="1" applyBorder="1" applyAlignment="1">
      <alignment horizontal="right"/>
    </xf>
    <xf numFmtId="49" fontId="26" fillId="0" borderId="10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 applyProtection="1">
      <alignment horizontal="justify" vertical="top" wrapText="1"/>
      <protection locked="0"/>
    </xf>
    <xf numFmtId="49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164" fontId="3" fillId="0" borderId="0" xfId="0" applyNumberFormat="1" applyFont="1" applyFill="1" applyAlignment="1">
      <alignment horizontal="center"/>
    </xf>
    <xf numFmtId="49" fontId="25" fillId="0" borderId="10" xfId="0" applyNumberFormat="1" applyFont="1" applyFill="1" applyBorder="1" applyAlignment="1" applyProtection="1">
      <alignment horizontal="center" vertical="top" wrapText="1"/>
      <protection locked="0"/>
    </xf>
    <xf numFmtId="0" fontId="25" fillId="0" borderId="10" xfId="0" applyFont="1" applyFill="1" applyBorder="1" applyAlignment="1" applyProtection="1">
      <alignment horizontal="center" vertical="top" wrapText="1"/>
      <protection locked="0"/>
    </xf>
    <xf numFmtId="1" fontId="25" fillId="0" borderId="10" xfId="0" applyNumberFormat="1" applyFont="1" applyFill="1" applyBorder="1" applyAlignment="1" applyProtection="1">
      <alignment horizontal="center" vertical="top" wrapText="1"/>
      <protection locked="0"/>
    </xf>
    <xf numFmtId="0" fontId="25" fillId="0" borderId="10" xfId="0" applyFont="1" applyFill="1" applyBorder="1" applyAlignment="1">
      <alignment horizontal="center" vertical="top"/>
    </xf>
    <xf numFmtId="4" fontId="25" fillId="0" borderId="10" xfId="0" applyNumberFormat="1" applyFont="1" applyFill="1" applyBorder="1" applyAlignment="1">
      <alignment horizontal="center" vertical="top"/>
    </xf>
    <xf numFmtId="167" fontId="25" fillId="0" borderId="10" xfId="0" applyNumberFormat="1" applyFont="1" applyFill="1" applyBorder="1" applyAlignment="1">
      <alignment horizontal="center" vertical="top"/>
    </xf>
    <xf numFmtId="164" fontId="25" fillId="0" borderId="10" xfId="0" applyNumberFormat="1" applyFont="1" applyFill="1" applyBorder="1" applyAlignment="1">
      <alignment horizontal="center" vertical="top"/>
    </xf>
    <xf numFmtId="0" fontId="25" fillId="0" borderId="10" xfId="0" applyFont="1" applyFill="1" applyBorder="1" applyAlignment="1" applyProtection="1">
      <alignment horizontal="left" vertical="top" wrapText="1"/>
      <protection locked="0"/>
    </xf>
    <xf numFmtId="49" fontId="26" fillId="0" borderId="10" xfId="0" applyNumberFormat="1" applyFont="1" applyFill="1" applyBorder="1" applyAlignment="1">
      <alignment horizontal="left" vertical="top" wrapText="1"/>
    </xf>
    <xf numFmtId="0" fontId="25" fillId="0" borderId="10" xfId="0" applyFont="1" applyFill="1" applyBorder="1" applyAlignment="1">
      <alignment horizontal="left" vertical="top" wrapText="1"/>
    </xf>
    <xf numFmtId="49" fontId="25" fillId="0" borderId="10" xfId="43" applyNumberFormat="1" applyFont="1" applyFill="1" applyBorder="1" applyAlignment="1" applyProtection="1">
      <alignment horizontal="left" vertical="top" wrapText="1"/>
      <protection hidden="1"/>
    </xf>
    <xf numFmtId="49" fontId="25" fillId="0" borderId="10" xfId="0" applyNumberFormat="1" applyFont="1" applyFill="1" applyBorder="1" applyAlignment="1">
      <alignment horizontal="left" vertical="top" wrapText="1"/>
    </xf>
    <xf numFmtId="11" fontId="25" fillId="0" borderId="10" xfId="0" applyNumberFormat="1" applyFont="1" applyFill="1" applyBorder="1" applyAlignment="1">
      <alignment horizontal="left" vertical="top" wrapText="1"/>
    </xf>
    <xf numFmtId="2" fontId="25" fillId="0" borderId="10" xfId="43" applyNumberFormat="1" applyFont="1" applyFill="1" applyBorder="1" applyAlignment="1" applyProtection="1">
      <alignment horizontal="left" vertical="top" wrapText="1"/>
      <protection hidden="1"/>
    </xf>
    <xf numFmtId="0" fontId="26" fillId="0" borderId="10" xfId="0" applyFont="1" applyFill="1" applyBorder="1" applyAlignment="1">
      <alignment horizontal="left" vertical="top" wrapText="1"/>
    </xf>
    <xf numFmtId="2" fontId="26" fillId="0" borderId="10" xfId="0" applyNumberFormat="1" applyFont="1" applyFill="1" applyBorder="1" applyAlignment="1">
      <alignment horizontal="left" vertical="top" wrapText="1"/>
    </xf>
    <xf numFmtId="49" fontId="25" fillId="0" borderId="10" xfId="43" applyNumberFormat="1" applyFont="1" applyFill="1" applyBorder="1" applyAlignment="1">
      <alignment horizontal="left" vertical="top" wrapText="1"/>
    </xf>
    <xf numFmtId="2" fontId="25" fillId="0" borderId="10" xfId="0" applyNumberFormat="1" applyFont="1" applyFill="1" applyBorder="1" applyAlignment="1">
      <alignment horizontal="left" vertical="top" wrapText="1"/>
    </xf>
    <xf numFmtId="12" fontId="26" fillId="0" borderId="10" xfId="0" applyNumberFormat="1" applyFont="1" applyFill="1" applyBorder="1" applyAlignment="1">
      <alignment horizontal="left" vertical="top" wrapText="1"/>
    </xf>
    <xf numFmtId="166" fontId="25" fillId="0" borderId="10" xfId="43" applyNumberFormat="1" applyFont="1" applyFill="1" applyBorder="1" applyAlignment="1">
      <alignment horizontal="left" vertical="top" wrapText="1"/>
    </xf>
    <xf numFmtId="0" fontId="25" fillId="0" borderId="10" xfId="0" applyNumberFormat="1" applyFont="1" applyFill="1" applyBorder="1" applyAlignment="1">
      <alignment horizontal="left" vertical="top" wrapText="1"/>
    </xf>
    <xf numFmtId="0" fontId="26" fillId="0" borderId="10" xfId="0" applyFont="1" applyFill="1" applyBorder="1" applyAlignment="1">
      <alignment horizontal="left" wrapText="1"/>
    </xf>
    <xf numFmtId="11" fontId="26" fillId="0" borderId="10" xfId="0" applyNumberFormat="1" applyFont="1" applyFill="1" applyBorder="1" applyAlignment="1">
      <alignment horizontal="left" vertical="top" wrapText="1"/>
    </xf>
    <xf numFmtId="0" fontId="25" fillId="0" borderId="11" xfId="0" applyFont="1" applyFill="1" applyBorder="1" applyAlignment="1">
      <alignment horizontal="left" vertical="top" wrapText="1"/>
    </xf>
    <xf numFmtId="49" fontId="25" fillId="0" borderId="10" xfId="46" applyNumberFormat="1" applyFont="1" applyFill="1" applyBorder="1" applyAlignment="1">
      <alignment horizontal="left" vertical="top" wrapText="1"/>
    </xf>
    <xf numFmtId="0" fontId="25" fillId="0" borderId="10" xfId="0" applyFont="1" applyFill="1" applyBorder="1" applyAlignment="1">
      <alignment horizontal="justify" vertical="top" wrapText="1"/>
    </xf>
    <xf numFmtId="49" fontId="25" fillId="0" borderId="10" xfId="43" applyNumberFormat="1" applyFont="1" applyFill="1" applyBorder="1" applyAlignment="1" applyProtection="1">
      <alignment horizontal="justify" vertical="top" wrapText="1"/>
      <protection hidden="1"/>
    </xf>
    <xf numFmtId="2" fontId="25" fillId="0" borderId="10" xfId="0" applyNumberFormat="1" applyFont="1" applyFill="1" applyBorder="1" applyAlignment="1">
      <alignment horizontal="justify" vertical="top" wrapText="1"/>
    </xf>
    <xf numFmtId="164" fontId="3" fillId="24" borderId="0" xfId="0" applyNumberFormat="1" applyFont="1" applyFill="1" applyBorder="1" applyAlignment="1">
      <alignment horizontal="right"/>
    </xf>
    <xf numFmtId="0" fontId="27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25" fillId="0" borderId="10" xfId="0" applyFont="1" applyFill="1" applyBorder="1" applyAlignment="1" applyProtection="1">
      <alignment horizontal="center" vertical="top" wrapText="1"/>
      <protection locked="0"/>
    </xf>
    <xf numFmtId="164" fontId="25" fillId="0" borderId="10" xfId="0" applyNumberFormat="1" applyFont="1" applyFill="1" applyBorder="1" applyAlignment="1">
      <alignment horizontal="center" vertical="top" wrapText="1"/>
    </xf>
    <xf numFmtId="0" fontId="25" fillId="0" borderId="0" xfId="0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right" vertical="top"/>
    </xf>
  </cellXfs>
  <cellStyles count="47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6"/>
    <cellStyle name="Обычный 2 2 2" xfId="43"/>
    <cellStyle name="Обычный 3" xfId="44"/>
    <cellStyle name="Плохой" xfId="36" builtinId="27" customBuiltin="1"/>
    <cellStyle name="Пояснение" xfId="37" builtinId="53" customBuiltin="1"/>
    <cellStyle name="Примечание" xfId="38" builtinId="10" customBuiltin="1"/>
    <cellStyle name="Процентный 2" xfId="45"/>
    <cellStyle name="Связанная ячейка" xfId="39" builtinId="24" customBuiltin="1"/>
    <cellStyle name="Текст предупреждения" xfId="40" builtinId="11" customBuiltin="1"/>
    <cellStyle name="Финансовый 2" xfId="41"/>
    <cellStyle name="Хороший" xfId="42" builtinId="26" customBuiltin="1"/>
  </cellStyles>
  <dxfs count="0"/>
  <tableStyles count="0" defaultTableStyle="TableStyleMedium9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358140</xdr:colOff>
      <xdr:row>5</xdr:row>
      <xdr:rowOff>180975</xdr:rowOff>
    </xdr:from>
    <xdr:to>
      <xdr:col>6</xdr:col>
      <xdr:colOff>1009650</xdr:colOff>
      <xdr:row>15</xdr:row>
      <xdr:rowOff>211455</xdr:rowOff>
    </xdr:to>
    <xdr:sp macro="" textlink="">
      <xdr:nvSpPr>
        <xdr:cNvPr id="3" name="Text Box 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225540" y="1323975"/>
          <a:ext cx="2489835" cy="168783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l" rtl="0">
            <a:defRPr sz="1000"/>
          </a:pPr>
          <a:r>
            <a:rPr lang="ru-RU" sz="1400">
              <a:effectLst/>
              <a:latin typeface="Times New Roman" pitchFamily="18" charset="0"/>
              <a:ea typeface="+mn-ea"/>
              <a:cs typeface="Times New Roman" pitchFamily="18" charset="0"/>
            </a:rPr>
            <a:t>«</a:t>
          </a:r>
          <a:r>
            <a:rPr lang="ru-RU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П</a:t>
          </a: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риложение 9</a:t>
          </a:r>
        </a:p>
        <a:p>
          <a:pPr algn="l" rtl="0">
            <a:defRPr sz="1000"/>
          </a:pPr>
          <a:endParaRPr lang="ru-RU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УТВЕРЖДЕНО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решением Совета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муниципального образования</a:t>
          </a:r>
        </a:p>
        <a:p>
          <a:pPr marL="0" indent="0"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ea typeface="+mn-ea"/>
              <a:cs typeface="Times New Roman"/>
            </a:rPr>
            <a:t>Туапсинский район</a:t>
          </a:r>
        </a:p>
        <a:p>
          <a:pPr marL="0" indent="0" algn="l" rtl="0">
            <a:defRPr sz="1000"/>
          </a:pPr>
          <a:r>
            <a:rPr lang="ru-RU" sz="1400" u="none">
              <a:effectLst/>
              <a:latin typeface="Times New Roman" pitchFamily="18" charset="0"/>
              <a:ea typeface="+mn-ea"/>
              <a:cs typeface="Times New Roman" pitchFamily="18" charset="0"/>
            </a:rPr>
            <a:t>от  23.12.2022  № 637</a:t>
          </a:r>
        </a:p>
      </xdr:txBody>
    </xdr:sp>
    <xdr:clientData/>
  </xdr:twoCellAnchor>
  <xdr:twoCellAnchor>
    <xdr:from>
      <xdr:col>2</xdr:col>
      <xdr:colOff>350520</xdr:colOff>
      <xdr:row>0</xdr:row>
      <xdr:rowOff>19050</xdr:rowOff>
    </xdr:from>
    <xdr:to>
      <xdr:col>7</xdr:col>
      <xdr:colOff>47625</xdr:colOff>
      <xdr:row>5</xdr:row>
      <xdr:rowOff>91440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6385560" y="19050"/>
          <a:ext cx="2638425" cy="117729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Приложение 4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 решению Совета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муниципального образования</a:t>
          </a:r>
        </a:p>
        <a:p>
          <a:pPr marL="0" indent="0"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ea typeface="+mn-ea"/>
              <a:cs typeface="Times New Roman"/>
            </a:rPr>
            <a:t>Туапсинский район</a:t>
          </a:r>
        </a:p>
        <a:p>
          <a:pPr marL="0" indent="0" algn="l" rtl="0">
            <a:defRPr sz="1000"/>
          </a:pPr>
          <a:r>
            <a:rPr lang="ru-RU" sz="1400">
              <a:effectLst/>
              <a:latin typeface="Times New Roman" pitchFamily="18" charset="0"/>
              <a:ea typeface="+mn-ea"/>
              <a:cs typeface="Times New Roman" pitchFamily="18" charset="0"/>
            </a:rPr>
            <a:t>от 22.12.2023 № 55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O1163"/>
  <sheetViews>
    <sheetView showGridLines="0" tabSelected="1" view="pageBreakPreview" zoomScaleNormal="90" zoomScaleSheetLayoutView="100" workbookViewId="0">
      <selection activeCell="H20" sqref="A20:XFD20"/>
    </sheetView>
  </sheetViews>
  <sheetFormatPr defaultColWidth="9.109375" defaultRowHeight="17.399999999999999" x14ac:dyDescent="0.25"/>
  <cols>
    <col min="1" max="1" width="77.88671875" style="4" customWidth="1"/>
    <col min="2" max="2" width="10.109375" style="7" customWidth="1"/>
    <col min="3" max="3" width="8.6640625" style="6" customWidth="1"/>
    <col min="4" max="4" width="7.109375" style="7" customWidth="1"/>
    <col min="5" max="5" width="7.44140625" style="7" customWidth="1"/>
    <col min="6" max="6" width="5.44140625" style="7" customWidth="1"/>
    <col min="7" max="7" width="15.33203125" style="8" customWidth="1"/>
    <col min="8" max="8" width="12.109375" style="1" bestFit="1" customWidth="1"/>
    <col min="9" max="9" width="7.6640625" style="1" customWidth="1"/>
    <col min="10" max="10" width="9.5546875" style="1" customWidth="1"/>
    <col min="11" max="11" width="4.44140625" style="1" customWidth="1"/>
    <col min="12" max="12" width="19.109375" style="1" customWidth="1"/>
    <col min="13" max="14" width="9.109375" style="1"/>
    <col min="15" max="15" width="16.109375" style="1" bestFit="1" customWidth="1"/>
    <col min="16" max="16384" width="9.109375" style="1"/>
  </cols>
  <sheetData>
    <row r="8" ht="9.75" customHeight="1" x14ac:dyDescent="0.25"/>
    <row r="9" ht="9.75" customHeight="1" x14ac:dyDescent="0.25"/>
    <row r="10" ht="9.75" customHeight="1" x14ac:dyDescent="0.25"/>
    <row r="11" ht="9.75" customHeight="1" x14ac:dyDescent="0.25"/>
    <row r="12" ht="9.75" customHeight="1" x14ac:dyDescent="0.25"/>
    <row r="13" ht="9.75" customHeight="1" x14ac:dyDescent="0.25"/>
    <row r="18" spans="1:15" ht="102" customHeight="1" x14ac:dyDescent="0.3">
      <c r="A18" s="58" t="s">
        <v>451</v>
      </c>
      <c r="B18" s="59"/>
      <c r="C18" s="59"/>
      <c r="D18" s="59"/>
      <c r="E18" s="59"/>
      <c r="F18" s="59"/>
      <c r="G18" s="59"/>
    </row>
    <row r="19" spans="1:15" ht="27.6" customHeight="1" x14ac:dyDescent="0.35">
      <c r="A19" s="25"/>
      <c r="B19" s="26"/>
      <c r="C19" s="27"/>
      <c r="D19" s="26"/>
      <c r="E19" s="26"/>
      <c r="F19" s="27"/>
      <c r="G19" s="28" t="s">
        <v>45</v>
      </c>
      <c r="K19" s="2"/>
    </row>
    <row r="20" spans="1:15" ht="24.75" customHeight="1" x14ac:dyDescent="0.25">
      <c r="A20" s="60" t="s">
        <v>15</v>
      </c>
      <c r="B20" s="60" t="s">
        <v>14</v>
      </c>
      <c r="C20" s="60"/>
      <c r="D20" s="60"/>
      <c r="E20" s="60"/>
      <c r="F20" s="60"/>
      <c r="G20" s="61" t="s">
        <v>51</v>
      </c>
      <c r="O20" s="22"/>
    </row>
    <row r="21" spans="1:15" x14ac:dyDescent="0.25">
      <c r="A21" s="60"/>
      <c r="B21" s="60" t="s">
        <v>12</v>
      </c>
      <c r="C21" s="60"/>
      <c r="D21" s="60"/>
      <c r="E21" s="60"/>
      <c r="F21" s="29" t="s">
        <v>13</v>
      </c>
      <c r="G21" s="61"/>
    </row>
    <row r="22" spans="1:15" s="6" customFormat="1" x14ac:dyDescent="0.25">
      <c r="A22" s="30">
        <v>1</v>
      </c>
      <c r="B22" s="30">
        <v>2</v>
      </c>
      <c r="C22" s="30">
        <v>3</v>
      </c>
      <c r="D22" s="30">
        <v>4</v>
      </c>
      <c r="E22" s="30">
        <v>5</v>
      </c>
      <c r="F22" s="30">
        <v>6</v>
      </c>
      <c r="G22" s="31">
        <v>7</v>
      </c>
    </row>
    <row r="23" spans="1:15" x14ac:dyDescent="0.25">
      <c r="A23" s="36" t="s">
        <v>16</v>
      </c>
      <c r="B23" s="29"/>
      <c r="C23" s="30"/>
      <c r="D23" s="29"/>
      <c r="E23" s="29"/>
      <c r="F23" s="30"/>
      <c r="G23" s="20">
        <f>SUM(G24+G152+G187+G199+G250+G299+G331+G356+G377+G388+G465+G544+G582+G607+G614+G627+G655+G659+G667+G700+G723+G732+G736+G632+G451+G433)</f>
        <v>5011411.5300399996</v>
      </c>
      <c r="L23" s="22">
        <f>SUM(G23-G655-G659-G667-G700-G723-G732-G736)</f>
        <v>3602840.9300400005</v>
      </c>
    </row>
    <row r="24" spans="1:15" s="2" customFormat="1" ht="31.2" x14ac:dyDescent="0.25">
      <c r="A24" s="37" t="s">
        <v>208</v>
      </c>
      <c r="B24" s="24" t="s">
        <v>0</v>
      </c>
      <c r="C24" s="24"/>
      <c r="D24" s="24"/>
      <c r="E24" s="24"/>
      <c r="F24" s="19"/>
      <c r="G24" s="20">
        <f>SUM(G25)</f>
        <v>2088294.0999999992</v>
      </c>
    </row>
    <row r="25" spans="1:15" s="2" customFormat="1" ht="31.2" x14ac:dyDescent="0.25">
      <c r="A25" s="37" t="s">
        <v>209</v>
      </c>
      <c r="B25" s="24" t="s">
        <v>0</v>
      </c>
      <c r="C25" s="24" t="s">
        <v>81</v>
      </c>
      <c r="D25" s="24"/>
      <c r="E25" s="24"/>
      <c r="F25" s="19"/>
      <c r="G25" s="20">
        <f>SUM(G26+G55+G66+G89+G119+G75+G144+G147)</f>
        <v>2088294.0999999992</v>
      </c>
    </row>
    <row r="26" spans="1:15" s="2" customFormat="1" ht="66" customHeight="1" x14ac:dyDescent="0.25">
      <c r="A26" s="37" t="s">
        <v>120</v>
      </c>
      <c r="B26" s="24" t="s">
        <v>0</v>
      </c>
      <c r="C26" s="24" t="s">
        <v>81</v>
      </c>
      <c r="D26" s="24" t="s">
        <v>0</v>
      </c>
      <c r="E26" s="24"/>
      <c r="F26" s="19"/>
      <c r="G26" s="20">
        <f>SUM(G41+G27+G35+G37+G29+G47+G31+G43+G45+G53+G51+G33+G39+G49)</f>
        <v>43424.3</v>
      </c>
    </row>
    <row r="27" spans="1:15" s="2" customFormat="1" ht="15" customHeight="1" x14ac:dyDescent="0.25">
      <c r="A27" s="37" t="s">
        <v>303</v>
      </c>
      <c r="B27" s="18" t="s">
        <v>0</v>
      </c>
      <c r="C27" s="18" t="s">
        <v>81</v>
      </c>
      <c r="D27" s="18" t="s">
        <v>0</v>
      </c>
      <c r="E27" s="24" t="s">
        <v>302</v>
      </c>
      <c r="F27" s="19"/>
      <c r="G27" s="20">
        <f>G28</f>
        <v>0</v>
      </c>
    </row>
    <row r="28" spans="1:15" s="2" customFormat="1" ht="31.2" x14ac:dyDescent="0.25">
      <c r="A28" s="38" t="s">
        <v>160</v>
      </c>
      <c r="B28" s="18" t="s">
        <v>0</v>
      </c>
      <c r="C28" s="18" t="s">
        <v>81</v>
      </c>
      <c r="D28" s="18" t="s">
        <v>0</v>
      </c>
      <c r="E28" s="24" t="s">
        <v>302</v>
      </c>
      <c r="F28" s="19" t="s">
        <v>149</v>
      </c>
      <c r="G28" s="20">
        <v>0</v>
      </c>
    </row>
    <row r="29" spans="1:15" s="2" customFormat="1" x14ac:dyDescent="0.25">
      <c r="A29" s="38" t="s">
        <v>310</v>
      </c>
      <c r="B29" s="18" t="s">
        <v>0</v>
      </c>
      <c r="C29" s="18" t="s">
        <v>81</v>
      </c>
      <c r="D29" s="18" t="s">
        <v>0</v>
      </c>
      <c r="E29" s="24" t="s">
        <v>322</v>
      </c>
      <c r="F29" s="19"/>
      <c r="G29" s="20">
        <f>G30</f>
        <v>0</v>
      </c>
    </row>
    <row r="30" spans="1:15" s="2" customFormat="1" ht="31.2" x14ac:dyDescent="0.25">
      <c r="A30" s="38" t="s">
        <v>160</v>
      </c>
      <c r="B30" s="18" t="s">
        <v>0</v>
      </c>
      <c r="C30" s="18" t="s">
        <v>81</v>
      </c>
      <c r="D30" s="18" t="s">
        <v>0</v>
      </c>
      <c r="E30" s="24" t="s">
        <v>322</v>
      </c>
      <c r="F30" s="19" t="s">
        <v>149</v>
      </c>
      <c r="G30" s="20"/>
    </row>
    <row r="31" spans="1:15" s="2" customFormat="1" ht="31.2" x14ac:dyDescent="0.25">
      <c r="A31" s="38" t="s">
        <v>362</v>
      </c>
      <c r="B31" s="18" t="s">
        <v>0</v>
      </c>
      <c r="C31" s="18" t="s">
        <v>81</v>
      </c>
      <c r="D31" s="18" t="s">
        <v>0</v>
      </c>
      <c r="E31" s="24" t="s">
        <v>361</v>
      </c>
      <c r="F31" s="19"/>
      <c r="G31" s="20">
        <f>G32</f>
        <v>3106.3</v>
      </c>
    </row>
    <row r="32" spans="1:15" s="2" customFormat="1" ht="31.2" x14ac:dyDescent="0.25">
      <c r="A32" s="38" t="s">
        <v>160</v>
      </c>
      <c r="B32" s="18" t="s">
        <v>0</v>
      </c>
      <c r="C32" s="18" t="s">
        <v>81</v>
      </c>
      <c r="D32" s="18" t="s">
        <v>0</v>
      </c>
      <c r="E32" s="24" t="s">
        <v>361</v>
      </c>
      <c r="F32" s="19" t="s">
        <v>149</v>
      </c>
      <c r="G32" s="20">
        <f>163+77.9+126.9+1400+321.3+445.5+248.9+322.8</f>
        <v>3106.3</v>
      </c>
    </row>
    <row r="33" spans="1:7" s="2" customFormat="1" x14ac:dyDescent="0.25">
      <c r="A33" s="38" t="s">
        <v>480</v>
      </c>
      <c r="B33" s="18" t="s">
        <v>0</v>
      </c>
      <c r="C33" s="18" t="s">
        <v>81</v>
      </c>
      <c r="D33" s="18" t="s">
        <v>0</v>
      </c>
      <c r="E33" s="24" t="s">
        <v>481</v>
      </c>
      <c r="F33" s="19"/>
      <c r="G33" s="20">
        <f>G34</f>
        <v>285</v>
      </c>
    </row>
    <row r="34" spans="1:7" s="2" customFormat="1" ht="31.2" x14ac:dyDescent="0.25">
      <c r="A34" s="38" t="s">
        <v>160</v>
      </c>
      <c r="B34" s="18" t="s">
        <v>0</v>
      </c>
      <c r="C34" s="18" t="s">
        <v>81</v>
      </c>
      <c r="D34" s="18" t="s">
        <v>0</v>
      </c>
      <c r="E34" s="24" t="s">
        <v>481</v>
      </c>
      <c r="F34" s="19" t="s">
        <v>149</v>
      </c>
      <c r="G34" s="20">
        <v>285</v>
      </c>
    </row>
    <row r="35" spans="1:7" s="2" customFormat="1" ht="31.2" x14ac:dyDescent="0.25">
      <c r="A35" s="38" t="s">
        <v>309</v>
      </c>
      <c r="B35" s="18" t="s">
        <v>0</v>
      </c>
      <c r="C35" s="18" t="s">
        <v>81</v>
      </c>
      <c r="D35" s="18" t="s">
        <v>0</v>
      </c>
      <c r="E35" s="18" t="s">
        <v>308</v>
      </c>
      <c r="F35" s="18"/>
      <c r="G35" s="20">
        <f>G36</f>
        <v>0</v>
      </c>
    </row>
    <row r="36" spans="1:7" s="2" customFormat="1" ht="31.2" x14ac:dyDescent="0.25">
      <c r="A36" s="38" t="s">
        <v>160</v>
      </c>
      <c r="B36" s="18" t="s">
        <v>0</v>
      </c>
      <c r="C36" s="18" t="s">
        <v>81</v>
      </c>
      <c r="D36" s="18" t="s">
        <v>0</v>
      </c>
      <c r="E36" s="18" t="s">
        <v>308</v>
      </c>
      <c r="F36" s="18" t="s">
        <v>149</v>
      </c>
      <c r="G36" s="20"/>
    </row>
    <row r="37" spans="1:7" s="2" customFormat="1" ht="31.2" x14ac:dyDescent="0.25">
      <c r="A37" s="38" t="s">
        <v>304</v>
      </c>
      <c r="B37" s="18" t="s">
        <v>0</v>
      </c>
      <c r="C37" s="18" t="s">
        <v>81</v>
      </c>
      <c r="D37" s="18" t="s">
        <v>0</v>
      </c>
      <c r="E37" s="18" t="s">
        <v>416</v>
      </c>
      <c r="F37" s="19"/>
      <c r="G37" s="20">
        <f>SUM(G38)</f>
        <v>1382.3999999999999</v>
      </c>
    </row>
    <row r="38" spans="1:7" s="2" customFormat="1" ht="31.2" x14ac:dyDescent="0.25">
      <c r="A38" s="38" t="s">
        <v>160</v>
      </c>
      <c r="B38" s="18" t="s">
        <v>0</v>
      </c>
      <c r="C38" s="18" t="s">
        <v>81</v>
      </c>
      <c r="D38" s="18" t="s">
        <v>0</v>
      </c>
      <c r="E38" s="18" t="s">
        <v>416</v>
      </c>
      <c r="F38" s="18" t="s">
        <v>149</v>
      </c>
      <c r="G38" s="20">
        <f>110+270+860+123.3+19.1</f>
        <v>1382.3999999999999</v>
      </c>
    </row>
    <row r="39" spans="1:7" s="2" customFormat="1" ht="22.2" customHeight="1" x14ac:dyDescent="0.25">
      <c r="A39" s="38" t="s">
        <v>472</v>
      </c>
      <c r="B39" s="18" t="s">
        <v>0</v>
      </c>
      <c r="C39" s="18" t="s">
        <v>81</v>
      </c>
      <c r="D39" s="18" t="s">
        <v>0</v>
      </c>
      <c r="E39" s="18" t="s">
        <v>471</v>
      </c>
      <c r="F39" s="18"/>
      <c r="G39" s="20">
        <f>G40</f>
        <v>30156.5</v>
      </c>
    </row>
    <row r="40" spans="1:7" s="2" customFormat="1" ht="31.2" x14ac:dyDescent="0.25">
      <c r="A40" s="38" t="s">
        <v>160</v>
      </c>
      <c r="B40" s="18" t="s">
        <v>0</v>
      </c>
      <c r="C40" s="18" t="s">
        <v>81</v>
      </c>
      <c r="D40" s="18" t="s">
        <v>0</v>
      </c>
      <c r="E40" s="18" t="s">
        <v>471</v>
      </c>
      <c r="F40" s="18" t="s">
        <v>149</v>
      </c>
      <c r="G40" s="20">
        <f>34103.4-3710-236.9</f>
        <v>30156.5</v>
      </c>
    </row>
    <row r="41" spans="1:7" s="2" customFormat="1" ht="109.2" x14ac:dyDescent="0.25">
      <c r="A41" s="38" t="s">
        <v>466</v>
      </c>
      <c r="B41" s="18" t="s">
        <v>0</v>
      </c>
      <c r="C41" s="18" t="s">
        <v>81</v>
      </c>
      <c r="D41" s="18" t="s">
        <v>0</v>
      </c>
      <c r="E41" s="18" t="s">
        <v>467</v>
      </c>
      <c r="F41" s="19"/>
      <c r="G41" s="20">
        <f>SUM(G42)</f>
        <v>5565.7</v>
      </c>
    </row>
    <row r="42" spans="1:7" s="2" customFormat="1" ht="31.5" customHeight="1" x14ac:dyDescent="0.25">
      <c r="A42" s="38" t="s">
        <v>160</v>
      </c>
      <c r="B42" s="18" t="s">
        <v>0</v>
      </c>
      <c r="C42" s="18" t="s">
        <v>81</v>
      </c>
      <c r="D42" s="18" t="s">
        <v>0</v>
      </c>
      <c r="E42" s="18" t="s">
        <v>467</v>
      </c>
      <c r="F42" s="18" t="s">
        <v>149</v>
      </c>
      <c r="G42" s="20">
        <f>4563.8+1001.9</f>
        <v>5565.7</v>
      </c>
    </row>
    <row r="43" spans="1:7" s="2" customFormat="1" ht="82.95" customHeight="1" x14ac:dyDescent="0.25">
      <c r="A43" s="38" t="s">
        <v>428</v>
      </c>
      <c r="B43" s="18" t="s">
        <v>0</v>
      </c>
      <c r="C43" s="18" t="s">
        <v>81</v>
      </c>
      <c r="D43" s="18" t="s">
        <v>0</v>
      </c>
      <c r="E43" s="18" t="s">
        <v>373</v>
      </c>
      <c r="F43" s="18"/>
      <c r="G43" s="20">
        <f>G44</f>
        <v>444.6</v>
      </c>
    </row>
    <row r="44" spans="1:7" s="2" customFormat="1" ht="31.5" customHeight="1" x14ac:dyDescent="0.25">
      <c r="A44" s="38" t="s">
        <v>160</v>
      </c>
      <c r="B44" s="18" t="s">
        <v>0</v>
      </c>
      <c r="C44" s="18" t="s">
        <v>81</v>
      </c>
      <c r="D44" s="18" t="s">
        <v>0</v>
      </c>
      <c r="E44" s="18" t="s">
        <v>373</v>
      </c>
      <c r="F44" s="18" t="s">
        <v>149</v>
      </c>
      <c r="G44" s="20">
        <f>364.5+80.1</f>
        <v>444.6</v>
      </c>
    </row>
    <row r="45" spans="1:7" s="2" customFormat="1" ht="109.5" customHeight="1" x14ac:dyDescent="0.25">
      <c r="A45" s="38" t="s">
        <v>392</v>
      </c>
      <c r="B45" s="18" t="s">
        <v>0</v>
      </c>
      <c r="C45" s="18" t="s">
        <v>81</v>
      </c>
      <c r="D45" s="18" t="s">
        <v>0</v>
      </c>
      <c r="E45" s="18" t="s">
        <v>391</v>
      </c>
      <c r="F45" s="18"/>
      <c r="G45" s="20">
        <f>G46</f>
        <v>-9.0949470177292824E-13</v>
      </c>
    </row>
    <row r="46" spans="1:7" s="2" customFormat="1" ht="31.5" customHeight="1" x14ac:dyDescent="0.25">
      <c r="A46" s="38" t="s">
        <v>160</v>
      </c>
      <c r="B46" s="18" t="s">
        <v>0</v>
      </c>
      <c r="C46" s="18" t="s">
        <v>81</v>
      </c>
      <c r="D46" s="18" t="s">
        <v>0</v>
      </c>
      <c r="E46" s="18" t="s">
        <v>391</v>
      </c>
      <c r="F46" s="18" t="s">
        <v>149</v>
      </c>
      <c r="G46" s="20">
        <f>5387.5+4181.8-2997-4181.8-1335.7-239.4-815.4</f>
        <v>-9.0949470177292824E-13</v>
      </c>
    </row>
    <row r="47" spans="1:7" s="2" customFormat="1" ht="80.25" customHeight="1" x14ac:dyDescent="0.25">
      <c r="A47" s="38" t="s">
        <v>427</v>
      </c>
      <c r="B47" s="18" t="s">
        <v>0</v>
      </c>
      <c r="C47" s="18" t="s">
        <v>81</v>
      </c>
      <c r="D47" s="18" t="s">
        <v>0</v>
      </c>
      <c r="E47" s="18" t="s">
        <v>426</v>
      </c>
      <c r="F47" s="19"/>
      <c r="G47" s="20">
        <f>G48</f>
        <v>0</v>
      </c>
    </row>
    <row r="48" spans="1:7" s="2" customFormat="1" ht="31.5" customHeight="1" x14ac:dyDescent="0.25">
      <c r="A48" s="38" t="s">
        <v>160</v>
      </c>
      <c r="B48" s="18" t="s">
        <v>0</v>
      </c>
      <c r="C48" s="18" t="s">
        <v>81</v>
      </c>
      <c r="D48" s="18" t="s">
        <v>0</v>
      </c>
      <c r="E48" s="18" t="s">
        <v>426</v>
      </c>
      <c r="F48" s="18" t="s">
        <v>149</v>
      </c>
      <c r="G48" s="20">
        <f>20371.8-20371.8</f>
        <v>0</v>
      </c>
    </row>
    <row r="49" spans="1:7" s="2" customFormat="1" ht="98.25" customHeight="1" x14ac:dyDescent="0.25">
      <c r="A49" s="38" t="s">
        <v>495</v>
      </c>
      <c r="B49" s="18" t="s">
        <v>0</v>
      </c>
      <c r="C49" s="18" t="s">
        <v>81</v>
      </c>
      <c r="D49" s="18" t="s">
        <v>0</v>
      </c>
      <c r="E49" s="18" t="s">
        <v>494</v>
      </c>
      <c r="F49" s="19"/>
      <c r="G49" s="20">
        <f>G50</f>
        <v>2483.8000000000002</v>
      </c>
    </row>
    <row r="50" spans="1:7" s="2" customFormat="1" ht="31.5" customHeight="1" x14ac:dyDescent="0.25">
      <c r="A50" s="38" t="s">
        <v>160</v>
      </c>
      <c r="B50" s="18" t="s">
        <v>0</v>
      </c>
      <c r="C50" s="18" t="s">
        <v>81</v>
      </c>
      <c r="D50" s="18" t="s">
        <v>0</v>
      </c>
      <c r="E50" s="18" t="s">
        <v>494</v>
      </c>
      <c r="F50" s="18" t="s">
        <v>149</v>
      </c>
      <c r="G50" s="20">
        <v>2483.8000000000002</v>
      </c>
    </row>
    <row r="51" spans="1:7" s="2" customFormat="1" ht="112.2" customHeight="1" x14ac:dyDescent="0.25">
      <c r="A51" s="38" t="s">
        <v>421</v>
      </c>
      <c r="B51" s="18" t="s">
        <v>0</v>
      </c>
      <c r="C51" s="18" t="s">
        <v>81</v>
      </c>
      <c r="D51" s="18" t="s">
        <v>0</v>
      </c>
      <c r="E51" s="18" t="s">
        <v>419</v>
      </c>
      <c r="F51" s="19"/>
      <c r="G51" s="20">
        <f>G52</f>
        <v>0</v>
      </c>
    </row>
    <row r="52" spans="1:7" s="2" customFormat="1" ht="34.950000000000003" customHeight="1" x14ac:dyDescent="0.25">
      <c r="A52" s="38" t="s">
        <v>160</v>
      </c>
      <c r="B52" s="18" t="s">
        <v>0</v>
      </c>
      <c r="C52" s="18" t="s">
        <v>81</v>
      </c>
      <c r="D52" s="18" t="s">
        <v>0</v>
      </c>
      <c r="E52" s="18" t="s">
        <v>419</v>
      </c>
      <c r="F52" s="18" t="s">
        <v>149</v>
      </c>
      <c r="G52" s="20">
        <f>5500-4472.6-1027.4</f>
        <v>0</v>
      </c>
    </row>
    <row r="53" spans="1:7" s="2" customFormat="1" ht="100.2" customHeight="1" x14ac:dyDescent="0.25">
      <c r="A53" s="38" t="s">
        <v>407</v>
      </c>
      <c r="B53" s="18" t="s">
        <v>0</v>
      </c>
      <c r="C53" s="21">
        <v>1</v>
      </c>
      <c r="D53" s="18" t="s">
        <v>0</v>
      </c>
      <c r="E53" s="19" t="s">
        <v>408</v>
      </c>
      <c r="F53" s="19"/>
      <c r="G53" s="20">
        <f>G54</f>
        <v>0</v>
      </c>
    </row>
    <row r="54" spans="1:7" s="2" customFormat="1" ht="34.950000000000003" customHeight="1" x14ac:dyDescent="0.25">
      <c r="A54" s="39" t="s">
        <v>160</v>
      </c>
      <c r="B54" s="18" t="s">
        <v>0</v>
      </c>
      <c r="C54" s="21">
        <v>1</v>
      </c>
      <c r="D54" s="18" t="s">
        <v>0</v>
      </c>
      <c r="E54" s="19" t="s">
        <v>408</v>
      </c>
      <c r="F54" s="19" t="s">
        <v>149</v>
      </c>
      <c r="G54" s="20"/>
    </row>
    <row r="55" spans="1:7" s="2" customFormat="1" ht="34.950000000000003" customHeight="1" x14ac:dyDescent="0.25">
      <c r="A55" s="40" t="s">
        <v>136</v>
      </c>
      <c r="B55" s="18" t="s">
        <v>0</v>
      </c>
      <c r="C55" s="18" t="s">
        <v>81</v>
      </c>
      <c r="D55" s="18" t="s">
        <v>1</v>
      </c>
      <c r="E55" s="18"/>
      <c r="F55" s="19"/>
      <c r="G55" s="20">
        <f>G56+G59+G61</f>
        <v>4264.6000000000004</v>
      </c>
    </row>
    <row r="56" spans="1:7" s="2" customFormat="1" ht="21.6" customHeight="1" x14ac:dyDescent="0.25">
      <c r="A56" s="40" t="s">
        <v>358</v>
      </c>
      <c r="B56" s="18" t="s">
        <v>0</v>
      </c>
      <c r="C56" s="18" t="s">
        <v>81</v>
      </c>
      <c r="D56" s="18" t="s">
        <v>1</v>
      </c>
      <c r="E56" s="18" t="s">
        <v>357</v>
      </c>
      <c r="F56" s="19"/>
      <c r="G56" s="20">
        <f>G57+G58</f>
        <v>0</v>
      </c>
    </row>
    <row r="57" spans="1:7" s="2" customFormat="1" ht="36.6" customHeight="1" x14ac:dyDescent="0.25">
      <c r="A57" s="40" t="s">
        <v>153</v>
      </c>
      <c r="B57" s="18" t="s">
        <v>0</v>
      </c>
      <c r="C57" s="18" t="s">
        <v>81</v>
      </c>
      <c r="D57" s="18" t="s">
        <v>1</v>
      </c>
      <c r="E57" s="18" t="s">
        <v>357</v>
      </c>
      <c r="F57" s="19" t="s">
        <v>22</v>
      </c>
      <c r="G57" s="20"/>
    </row>
    <row r="58" spans="1:7" s="2" customFormat="1" ht="33.6" customHeight="1" x14ac:dyDescent="0.25">
      <c r="A58" s="38" t="s">
        <v>160</v>
      </c>
      <c r="B58" s="18" t="s">
        <v>0</v>
      </c>
      <c r="C58" s="18" t="s">
        <v>81</v>
      </c>
      <c r="D58" s="18" t="s">
        <v>1</v>
      </c>
      <c r="E58" s="18" t="s">
        <v>357</v>
      </c>
      <c r="F58" s="19" t="s">
        <v>149</v>
      </c>
      <c r="G58" s="20"/>
    </row>
    <row r="59" spans="1:7" s="2" customFormat="1" ht="32.4" customHeight="1" x14ac:dyDescent="0.25">
      <c r="A59" s="40" t="s">
        <v>320</v>
      </c>
      <c r="B59" s="18" t="s">
        <v>0</v>
      </c>
      <c r="C59" s="18" t="s">
        <v>81</v>
      </c>
      <c r="D59" s="18" t="s">
        <v>1</v>
      </c>
      <c r="E59" s="18" t="s">
        <v>321</v>
      </c>
      <c r="F59" s="19"/>
      <c r="G59" s="20">
        <f>G60</f>
        <v>210</v>
      </c>
    </row>
    <row r="60" spans="1:7" s="2" customFormat="1" ht="31.2" x14ac:dyDescent="0.25">
      <c r="A60" s="38" t="s">
        <v>153</v>
      </c>
      <c r="B60" s="18" t="s">
        <v>0</v>
      </c>
      <c r="C60" s="18" t="s">
        <v>81</v>
      </c>
      <c r="D60" s="18" t="s">
        <v>1</v>
      </c>
      <c r="E60" s="18" t="s">
        <v>321</v>
      </c>
      <c r="F60" s="19" t="s">
        <v>22</v>
      </c>
      <c r="G60" s="20">
        <f>105.6+104.4</f>
        <v>210</v>
      </c>
    </row>
    <row r="61" spans="1:7" s="2" customFormat="1" ht="129.6" customHeight="1" x14ac:dyDescent="0.25">
      <c r="A61" s="38" t="s">
        <v>291</v>
      </c>
      <c r="B61" s="18" t="s">
        <v>0</v>
      </c>
      <c r="C61" s="18" t="s">
        <v>81</v>
      </c>
      <c r="D61" s="18" t="s">
        <v>1</v>
      </c>
      <c r="E61" s="18" t="s">
        <v>183</v>
      </c>
      <c r="F61" s="19"/>
      <c r="G61" s="20">
        <f>SUM(G62:G65)</f>
        <v>4054.6</v>
      </c>
    </row>
    <row r="62" spans="1:7" s="2" customFormat="1" ht="49.95" customHeight="1" x14ac:dyDescent="0.25">
      <c r="A62" s="38" t="s">
        <v>151</v>
      </c>
      <c r="B62" s="18" t="s">
        <v>0</v>
      </c>
      <c r="C62" s="18" t="s">
        <v>81</v>
      </c>
      <c r="D62" s="18" t="s">
        <v>1</v>
      </c>
      <c r="E62" s="18" t="s">
        <v>183</v>
      </c>
      <c r="F62" s="19" t="s">
        <v>20</v>
      </c>
      <c r="G62" s="20">
        <v>57.5</v>
      </c>
    </row>
    <row r="63" spans="1:7" s="2" customFormat="1" ht="33.6" customHeight="1" x14ac:dyDescent="0.25">
      <c r="A63" s="38" t="s">
        <v>153</v>
      </c>
      <c r="B63" s="18" t="s">
        <v>0</v>
      </c>
      <c r="C63" s="18" t="s">
        <v>81</v>
      </c>
      <c r="D63" s="18" t="s">
        <v>1</v>
      </c>
      <c r="E63" s="18" t="s">
        <v>183</v>
      </c>
      <c r="F63" s="19" t="s">
        <v>22</v>
      </c>
      <c r="G63" s="20">
        <v>29.2</v>
      </c>
    </row>
    <row r="64" spans="1:7" s="2" customFormat="1" ht="21" customHeight="1" x14ac:dyDescent="0.25">
      <c r="A64" s="38" t="s">
        <v>146</v>
      </c>
      <c r="B64" s="18" t="s">
        <v>0</v>
      </c>
      <c r="C64" s="18" t="s">
        <v>81</v>
      </c>
      <c r="D64" s="18" t="s">
        <v>1</v>
      </c>
      <c r="E64" s="18" t="s">
        <v>183</v>
      </c>
      <c r="F64" s="19" t="s">
        <v>147</v>
      </c>
      <c r="G64" s="20">
        <f>2730-470.7+159.2</f>
        <v>2418.5</v>
      </c>
    </row>
    <row r="65" spans="1:7" s="2" customFormat="1" ht="33.6" customHeight="1" x14ac:dyDescent="0.25">
      <c r="A65" s="38" t="s">
        <v>160</v>
      </c>
      <c r="B65" s="18" t="s">
        <v>0</v>
      </c>
      <c r="C65" s="18" t="s">
        <v>81</v>
      </c>
      <c r="D65" s="18" t="s">
        <v>1</v>
      </c>
      <c r="E65" s="18" t="s">
        <v>183</v>
      </c>
      <c r="F65" s="19" t="s">
        <v>149</v>
      </c>
      <c r="G65" s="20">
        <f>1078.7+470.7</f>
        <v>1549.4</v>
      </c>
    </row>
    <row r="66" spans="1:7" s="2" customFormat="1" ht="47.4" customHeight="1" x14ac:dyDescent="0.25">
      <c r="A66" s="37" t="s">
        <v>137</v>
      </c>
      <c r="B66" s="24" t="s">
        <v>0</v>
      </c>
      <c r="C66" s="24" t="s">
        <v>81</v>
      </c>
      <c r="D66" s="24" t="s">
        <v>2</v>
      </c>
      <c r="E66" s="24"/>
      <c r="F66" s="19"/>
      <c r="G66" s="20">
        <f>SUM(G67+G71)</f>
        <v>2752.8</v>
      </c>
    </row>
    <row r="67" spans="1:7" s="2" customFormat="1" ht="37.200000000000003" customHeight="1" x14ac:dyDescent="0.25">
      <c r="A67" s="37" t="s">
        <v>347</v>
      </c>
      <c r="B67" s="24" t="s">
        <v>0</v>
      </c>
      <c r="C67" s="24" t="s">
        <v>81</v>
      </c>
      <c r="D67" s="24" t="s">
        <v>2</v>
      </c>
      <c r="E67" s="24" t="s">
        <v>138</v>
      </c>
      <c r="F67" s="19"/>
      <c r="G67" s="20">
        <f>SUM(G68:G70)</f>
        <v>1790.6000000000001</v>
      </c>
    </row>
    <row r="68" spans="1:7" s="2" customFormat="1" ht="48.6" customHeight="1" x14ac:dyDescent="0.25">
      <c r="A68" s="38" t="s">
        <v>151</v>
      </c>
      <c r="B68" s="24" t="s">
        <v>0</v>
      </c>
      <c r="C68" s="24" t="s">
        <v>81</v>
      </c>
      <c r="D68" s="24" t="s">
        <v>2</v>
      </c>
      <c r="E68" s="24" t="s">
        <v>138</v>
      </c>
      <c r="F68" s="19" t="s">
        <v>20</v>
      </c>
      <c r="G68" s="20">
        <v>140</v>
      </c>
    </row>
    <row r="69" spans="1:7" s="2" customFormat="1" ht="31.2" x14ac:dyDescent="0.25">
      <c r="A69" s="38" t="s">
        <v>153</v>
      </c>
      <c r="B69" s="24" t="s">
        <v>0</v>
      </c>
      <c r="C69" s="24" t="s">
        <v>81</v>
      </c>
      <c r="D69" s="24" t="s">
        <v>2</v>
      </c>
      <c r="E69" s="24" t="s">
        <v>138</v>
      </c>
      <c r="F69" s="19" t="s">
        <v>22</v>
      </c>
      <c r="G69" s="20">
        <f>159.8-50+50</f>
        <v>159.80000000000001</v>
      </c>
    </row>
    <row r="70" spans="1:7" s="2" customFormat="1" ht="36" customHeight="1" x14ac:dyDescent="0.25">
      <c r="A70" s="38" t="s">
        <v>160</v>
      </c>
      <c r="B70" s="24" t="s">
        <v>0</v>
      </c>
      <c r="C70" s="24" t="s">
        <v>81</v>
      </c>
      <c r="D70" s="24" t="s">
        <v>2</v>
      </c>
      <c r="E70" s="24" t="s">
        <v>138</v>
      </c>
      <c r="F70" s="19" t="s">
        <v>149</v>
      </c>
      <c r="G70" s="20">
        <f>1540.3-341.4+341.9-50</f>
        <v>1490.8000000000002</v>
      </c>
    </row>
    <row r="71" spans="1:7" s="2" customFormat="1" ht="67.2" customHeight="1" x14ac:dyDescent="0.25">
      <c r="A71" s="38" t="s">
        <v>182</v>
      </c>
      <c r="B71" s="24" t="s">
        <v>0</v>
      </c>
      <c r="C71" s="24" t="s">
        <v>81</v>
      </c>
      <c r="D71" s="24" t="s">
        <v>2</v>
      </c>
      <c r="E71" s="24" t="s">
        <v>181</v>
      </c>
      <c r="F71" s="19"/>
      <c r="G71" s="20">
        <f>G72+G74+G73</f>
        <v>962.19999999999993</v>
      </c>
    </row>
    <row r="72" spans="1:7" s="2" customFormat="1" ht="50.4" customHeight="1" x14ac:dyDescent="0.25">
      <c r="A72" s="38" t="s">
        <v>151</v>
      </c>
      <c r="B72" s="24" t="s">
        <v>0</v>
      </c>
      <c r="C72" s="24" t="s">
        <v>81</v>
      </c>
      <c r="D72" s="24" t="s">
        <v>2</v>
      </c>
      <c r="E72" s="24" t="s">
        <v>181</v>
      </c>
      <c r="F72" s="19" t="s">
        <v>20</v>
      </c>
      <c r="G72" s="20">
        <f>304.8+232-232</f>
        <v>304.79999999999995</v>
      </c>
    </row>
    <row r="73" spans="1:7" s="2" customFormat="1" ht="31.95" customHeight="1" x14ac:dyDescent="0.25">
      <c r="A73" s="38" t="s">
        <v>153</v>
      </c>
      <c r="B73" s="24" t="s">
        <v>0</v>
      </c>
      <c r="C73" s="24" t="s">
        <v>81</v>
      </c>
      <c r="D73" s="24" t="s">
        <v>2</v>
      </c>
      <c r="E73" s="24" t="s">
        <v>181</v>
      </c>
      <c r="F73" s="19" t="s">
        <v>22</v>
      </c>
      <c r="G73" s="20"/>
    </row>
    <row r="74" spans="1:7" s="2" customFormat="1" ht="30.6" customHeight="1" x14ac:dyDescent="0.25">
      <c r="A74" s="38" t="s">
        <v>160</v>
      </c>
      <c r="B74" s="24" t="s">
        <v>0</v>
      </c>
      <c r="C74" s="24" t="s">
        <v>81</v>
      </c>
      <c r="D74" s="24" t="s">
        <v>2</v>
      </c>
      <c r="E74" s="24" t="s">
        <v>181</v>
      </c>
      <c r="F74" s="19" t="s">
        <v>149</v>
      </c>
      <c r="G74" s="20">
        <f>232+425.4</f>
        <v>657.4</v>
      </c>
    </row>
    <row r="75" spans="1:7" s="2" customFormat="1" ht="68.400000000000006" customHeight="1" x14ac:dyDescent="0.25">
      <c r="A75" s="37" t="s">
        <v>115</v>
      </c>
      <c r="B75" s="24" t="s">
        <v>0</v>
      </c>
      <c r="C75" s="24" t="s">
        <v>81</v>
      </c>
      <c r="D75" s="24" t="s">
        <v>3</v>
      </c>
      <c r="E75" s="24"/>
      <c r="F75" s="19"/>
      <c r="G75" s="20">
        <f>G76+G79+G86+G83</f>
        <v>12819.9</v>
      </c>
    </row>
    <row r="76" spans="1:7" s="2" customFormat="1" ht="31.2" customHeight="1" x14ac:dyDescent="0.25">
      <c r="A76" s="37" t="s">
        <v>173</v>
      </c>
      <c r="B76" s="24" t="s">
        <v>0</v>
      </c>
      <c r="C76" s="24" t="s">
        <v>81</v>
      </c>
      <c r="D76" s="24" t="s">
        <v>3</v>
      </c>
      <c r="E76" s="24" t="s">
        <v>174</v>
      </c>
      <c r="F76" s="19"/>
      <c r="G76" s="20">
        <f>G77+G78</f>
        <v>0</v>
      </c>
    </row>
    <row r="77" spans="1:7" s="2" customFormat="1" ht="49.95" customHeight="1" x14ac:dyDescent="0.25">
      <c r="A77" s="38" t="s">
        <v>151</v>
      </c>
      <c r="B77" s="24" t="s">
        <v>0</v>
      </c>
      <c r="C77" s="24" t="s">
        <v>81</v>
      </c>
      <c r="D77" s="24" t="s">
        <v>3</v>
      </c>
      <c r="E77" s="24" t="s">
        <v>174</v>
      </c>
      <c r="F77" s="19" t="s">
        <v>20</v>
      </c>
      <c r="G77" s="20"/>
    </row>
    <row r="78" spans="1:7" s="2" customFormat="1" ht="35.4" customHeight="1" x14ac:dyDescent="0.25">
      <c r="A78" s="38" t="s">
        <v>160</v>
      </c>
      <c r="B78" s="24" t="s">
        <v>0</v>
      </c>
      <c r="C78" s="24" t="s">
        <v>81</v>
      </c>
      <c r="D78" s="24" t="s">
        <v>3</v>
      </c>
      <c r="E78" s="24" t="s">
        <v>174</v>
      </c>
      <c r="F78" s="19" t="s">
        <v>149</v>
      </c>
      <c r="G78" s="20"/>
    </row>
    <row r="79" spans="1:7" s="2" customFormat="1" ht="33" customHeight="1" x14ac:dyDescent="0.25">
      <c r="A79" s="37" t="s">
        <v>191</v>
      </c>
      <c r="B79" s="24" t="s">
        <v>0</v>
      </c>
      <c r="C79" s="24" t="s">
        <v>81</v>
      </c>
      <c r="D79" s="24" t="s">
        <v>3</v>
      </c>
      <c r="E79" s="24" t="s">
        <v>125</v>
      </c>
      <c r="F79" s="19"/>
      <c r="G79" s="20">
        <f>SUM(G80:G82)</f>
        <v>1595.7</v>
      </c>
    </row>
    <row r="80" spans="1:7" s="2" customFormat="1" ht="55.95" customHeight="1" x14ac:dyDescent="0.25">
      <c r="A80" s="38" t="s">
        <v>151</v>
      </c>
      <c r="B80" s="24" t="s">
        <v>0</v>
      </c>
      <c r="C80" s="24" t="s">
        <v>81</v>
      </c>
      <c r="D80" s="24" t="s">
        <v>3</v>
      </c>
      <c r="E80" s="24" t="s">
        <v>125</v>
      </c>
      <c r="F80" s="19" t="s">
        <v>20</v>
      </c>
      <c r="G80" s="20">
        <v>0</v>
      </c>
    </row>
    <row r="81" spans="1:7" s="2" customFormat="1" ht="34.950000000000003" customHeight="1" x14ac:dyDescent="0.25">
      <c r="A81" s="38" t="s">
        <v>145</v>
      </c>
      <c r="B81" s="24" t="s">
        <v>0</v>
      </c>
      <c r="C81" s="24" t="s">
        <v>81</v>
      </c>
      <c r="D81" s="24" t="s">
        <v>3</v>
      </c>
      <c r="E81" s="24" t="s">
        <v>125</v>
      </c>
      <c r="F81" s="19" t="s">
        <v>22</v>
      </c>
      <c r="G81" s="20">
        <v>0</v>
      </c>
    </row>
    <row r="82" spans="1:7" s="2" customFormat="1" ht="36.6" customHeight="1" x14ac:dyDescent="0.25">
      <c r="A82" s="39" t="s">
        <v>160</v>
      </c>
      <c r="B82" s="24" t="s">
        <v>0</v>
      </c>
      <c r="C82" s="24" t="s">
        <v>81</v>
      </c>
      <c r="D82" s="24" t="s">
        <v>3</v>
      </c>
      <c r="E82" s="24" t="s">
        <v>125</v>
      </c>
      <c r="F82" s="19" t="s">
        <v>149</v>
      </c>
      <c r="G82" s="20">
        <f>600+652+72+271.7</f>
        <v>1595.7</v>
      </c>
    </row>
    <row r="83" spans="1:7" s="2" customFormat="1" ht="58.95" customHeight="1" x14ac:dyDescent="0.25">
      <c r="A83" s="41" t="s">
        <v>193</v>
      </c>
      <c r="B83" s="24" t="s">
        <v>0</v>
      </c>
      <c r="C83" s="24" t="s">
        <v>81</v>
      </c>
      <c r="D83" s="24" t="s">
        <v>3</v>
      </c>
      <c r="E83" s="24" t="s">
        <v>192</v>
      </c>
      <c r="F83" s="19"/>
      <c r="G83" s="20">
        <f>G84+G85</f>
        <v>9266.7999999999993</v>
      </c>
    </row>
    <row r="84" spans="1:7" s="2" customFormat="1" ht="52.2" customHeight="1" x14ac:dyDescent="0.25">
      <c r="A84" s="38" t="s">
        <v>151</v>
      </c>
      <c r="B84" s="24" t="s">
        <v>0</v>
      </c>
      <c r="C84" s="24" t="s">
        <v>81</v>
      </c>
      <c r="D84" s="24" t="s">
        <v>3</v>
      </c>
      <c r="E84" s="24" t="s">
        <v>192</v>
      </c>
      <c r="F84" s="19" t="s">
        <v>20</v>
      </c>
      <c r="G84" s="20">
        <f>20.1-20-0.1</f>
        <v>1.4155343563970746E-15</v>
      </c>
    </row>
    <row r="85" spans="1:7" ht="42.6" customHeight="1" x14ac:dyDescent="0.25">
      <c r="A85" s="39" t="s">
        <v>160</v>
      </c>
      <c r="B85" s="24" t="s">
        <v>0</v>
      </c>
      <c r="C85" s="24" t="s">
        <v>81</v>
      </c>
      <c r="D85" s="24" t="s">
        <v>3</v>
      </c>
      <c r="E85" s="24" t="s">
        <v>192</v>
      </c>
      <c r="F85" s="19" t="s">
        <v>149</v>
      </c>
      <c r="G85" s="20">
        <f>5018.5+4248.3</f>
        <v>9266.7999999999993</v>
      </c>
    </row>
    <row r="86" spans="1:7" ht="110.4" customHeight="1" x14ac:dyDescent="0.25">
      <c r="A86" s="42" t="s">
        <v>290</v>
      </c>
      <c r="B86" s="24" t="s">
        <v>0</v>
      </c>
      <c r="C86" s="24" t="s">
        <v>81</v>
      </c>
      <c r="D86" s="24" t="s">
        <v>3</v>
      </c>
      <c r="E86" s="24" t="s">
        <v>116</v>
      </c>
      <c r="F86" s="19"/>
      <c r="G86" s="20">
        <f>SUM(G87:G88)</f>
        <v>1957.4</v>
      </c>
    </row>
    <row r="87" spans="1:7" ht="63" customHeight="1" x14ac:dyDescent="0.25">
      <c r="A87" s="38" t="s">
        <v>151</v>
      </c>
      <c r="B87" s="24" t="s">
        <v>0</v>
      </c>
      <c r="C87" s="24" t="s">
        <v>81</v>
      </c>
      <c r="D87" s="24" t="s">
        <v>3</v>
      </c>
      <c r="E87" s="24" t="s">
        <v>116</v>
      </c>
      <c r="F87" s="19" t="s">
        <v>20</v>
      </c>
      <c r="G87" s="20">
        <f>22.6+0.1+3.1+0.9+2.1</f>
        <v>28.800000000000004</v>
      </c>
    </row>
    <row r="88" spans="1:7" ht="46.95" customHeight="1" x14ac:dyDescent="0.25">
      <c r="A88" s="38" t="s">
        <v>148</v>
      </c>
      <c r="B88" s="24" t="s">
        <v>0</v>
      </c>
      <c r="C88" s="24" t="s">
        <v>81</v>
      </c>
      <c r="D88" s="24" t="s">
        <v>3</v>
      </c>
      <c r="E88" s="24" t="s">
        <v>116</v>
      </c>
      <c r="F88" s="19" t="s">
        <v>149</v>
      </c>
      <c r="G88" s="20">
        <f>499.9+1000.1+22.8-0.1+206.9+61.1+137.9</f>
        <v>1928.6000000000001</v>
      </c>
    </row>
    <row r="89" spans="1:7" ht="63.6" customHeight="1" x14ac:dyDescent="0.25">
      <c r="A89" s="37" t="s">
        <v>117</v>
      </c>
      <c r="B89" s="24" t="s">
        <v>0</v>
      </c>
      <c r="C89" s="24" t="s">
        <v>81</v>
      </c>
      <c r="D89" s="24" t="s">
        <v>4</v>
      </c>
      <c r="E89" s="24"/>
      <c r="F89" s="19"/>
      <c r="G89" s="20">
        <f>SUM(G94+G112+G116+G90+G108+G106+G110+G104+G100+G102)</f>
        <v>1868891.3999999992</v>
      </c>
    </row>
    <row r="90" spans="1:7" ht="23.4" customHeight="1" x14ac:dyDescent="0.25">
      <c r="A90" s="37" t="s">
        <v>143</v>
      </c>
      <c r="B90" s="24" t="s">
        <v>0</v>
      </c>
      <c r="C90" s="24" t="s">
        <v>81</v>
      </c>
      <c r="D90" s="24" t="s">
        <v>4</v>
      </c>
      <c r="E90" s="24" t="s">
        <v>54</v>
      </c>
      <c r="F90" s="19"/>
      <c r="G90" s="20">
        <f>SUM(G91:G93)</f>
        <v>6943.5</v>
      </c>
    </row>
    <row r="91" spans="1:7" ht="48.6" customHeight="1" x14ac:dyDescent="0.25">
      <c r="A91" s="38" t="s">
        <v>19</v>
      </c>
      <c r="B91" s="24" t="s">
        <v>0</v>
      </c>
      <c r="C91" s="24" t="s">
        <v>81</v>
      </c>
      <c r="D91" s="24" t="s">
        <v>4</v>
      </c>
      <c r="E91" s="24" t="s">
        <v>54</v>
      </c>
      <c r="F91" s="19" t="s">
        <v>20</v>
      </c>
      <c r="G91" s="20">
        <f>6243.3+62.4+3.6+632.3</f>
        <v>6941.6</v>
      </c>
    </row>
    <row r="92" spans="1:7" s="2" customFormat="1" ht="36.6" customHeight="1" x14ac:dyDescent="0.25">
      <c r="A92" s="38" t="s">
        <v>153</v>
      </c>
      <c r="B92" s="24" t="s">
        <v>0</v>
      </c>
      <c r="C92" s="24" t="s">
        <v>81</v>
      </c>
      <c r="D92" s="24" t="s">
        <v>4</v>
      </c>
      <c r="E92" s="24" t="s">
        <v>54</v>
      </c>
      <c r="F92" s="19" t="s">
        <v>22</v>
      </c>
      <c r="G92" s="20">
        <f>1.9</f>
        <v>1.9</v>
      </c>
    </row>
    <row r="93" spans="1:7" s="2" customFormat="1" ht="21" customHeight="1" x14ac:dyDescent="0.25">
      <c r="A93" s="38" t="s">
        <v>24</v>
      </c>
      <c r="B93" s="24" t="s">
        <v>0</v>
      </c>
      <c r="C93" s="24" t="s">
        <v>81</v>
      </c>
      <c r="D93" s="24" t="s">
        <v>4</v>
      </c>
      <c r="E93" s="24" t="s">
        <v>54</v>
      </c>
      <c r="F93" s="19" t="s">
        <v>25</v>
      </c>
      <c r="G93" s="20">
        <f>1-1</f>
        <v>0</v>
      </c>
    </row>
    <row r="94" spans="1:7" s="2" customFormat="1" ht="48" customHeight="1" x14ac:dyDescent="0.25">
      <c r="A94" s="37" t="s">
        <v>119</v>
      </c>
      <c r="B94" s="24" t="s">
        <v>0</v>
      </c>
      <c r="C94" s="24" t="s">
        <v>81</v>
      </c>
      <c r="D94" s="24" t="s">
        <v>4</v>
      </c>
      <c r="E94" s="24" t="s">
        <v>69</v>
      </c>
      <c r="F94" s="19"/>
      <c r="G94" s="20">
        <f>SUM(G95:G99)</f>
        <v>530367.79999999993</v>
      </c>
    </row>
    <row r="95" spans="1:7" s="2" customFormat="1" ht="31.2" x14ac:dyDescent="0.25">
      <c r="A95" s="38" t="s">
        <v>19</v>
      </c>
      <c r="B95" s="24" t="s">
        <v>0</v>
      </c>
      <c r="C95" s="24" t="s">
        <v>81</v>
      </c>
      <c r="D95" s="24" t="s">
        <v>4</v>
      </c>
      <c r="E95" s="24" t="s">
        <v>69</v>
      </c>
      <c r="F95" s="19" t="s">
        <v>20</v>
      </c>
      <c r="G95" s="20">
        <f>61712.2+201.9+565.3-0.1-446.7-82.7-480.6+1821+5175.4</f>
        <v>68465.700000000012</v>
      </c>
    </row>
    <row r="96" spans="1:7" s="2" customFormat="1" ht="38.4" customHeight="1" x14ac:dyDescent="0.25">
      <c r="A96" s="38" t="s">
        <v>153</v>
      </c>
      <c r="B96" s="24" t="s">
        <v>0</v>
      </c>
      <c r="C96" s="24" t="s">
        <v>81</v>
      </c>
      <c r="D96" s="24" t="s">
        <v>4</v>
      </c>
      <c r="E96" s="24" t="s">
        <v>69</v>
      </c>
      <c r="F96" s="19" t="s">
        <v>22</v>
      </c>
      <c r="G96" s="20">
        <f>8337.2+683.5-2+82.7-1+18.8+90.3-500</f>
        <v>8709.5</v>
      </c>
    </row>
    <row r="97" spans="1:7" s="2" customFormat="1" ht="26.4" customHeight="1" x14ac:dyDescent="0.25">
      <c r="A97" s="38" t="s">
        <v>155</v>
      </c>
      <c r="B97" s="24" t="s">
        <v>0</v>
      </c>
      <c r="C97" s="24" t="s">
        <v>81</v>
      </c>
      <c r="D97" s="24" t="s">
        <v>4</v>
      </c>
      <c r="E97" s="24" t="s">
        <v>69</v>
      </c>
      <c r="F97" s="19" t="s">
        <v>147</v>
      </c>
      <c r="G97" s="20"/>
    </row>
    <row r="98" spans="1:7" s="2" customFormat="1" ht="31.2" x14ac:dyDescent="0.25">
      <c r="A98" s="38" t="s">
        <v>160</v>
      </c>
      <c r="B98" s="24" t="s">
        <v>0</v>
      </c>
      <c r="C98" s="24" t="s">
        <v>81</v>
      </c>
      <c r="D98" s="24" t="s">
        <v>4</v>
      </c>
      <c r="E98" s="24" t="s">
        <v>69</v>
      </c>
      <c r="F98" s="19" t="s">
        <v>149</v>
      </c>
      <c r="G98" s="20">
        <f>234558.3+175605.8+41845.1-9165.5-30+28+313.2-136.8+260.4+5009.6+131.7-65+378.3+60+387.1+378+180.2+737.1+966.5+17+8430.4-5721.5-985.9</f>
        <v>453181.99999999994</v>
      </c>
    </row>
    <row r="99" spans="1:7" s="2" customFormat="1" ht="26.4" customHeight="1" x14ac:dyDescent="0.25">
      <c r="A99" s="38" t="s">
        <v>24</v>
      </c>
      <c r="B99" s="24" t="s">
        <v>0</v>
      </c>
      <c r="C99" s="24" t="s">
        <v>81</v>
      </c>
      <c r="D99" s="24" t="s">
        <v>4</v>
      </c>
      <c r="E99" s="24" t="s">
        <v>69</v>
      </c>
      <c r="F99" s="19" t="s">
        <v>25</v>
      </c>
      <c r="G99" s="20">
        <f>76.6-18.8-47.2</f>
        <v>10.599999999999994</v>
      </c>
    </row>
    <row r="100" spans="1:7" ht="37.950000000000003" customHeight="1" x14ac:dyDescent="0.25">
      <c r="A100" s="38" t="s">
        <v>398</v>
      </c>
      <c r="B100" s="24" t="s">
        <v>0</v>
      </c>
      <c r="C100" s="24" t="s">
        <v>81</v>
      </c>
      <c r="D100" s="24" t="s">
        <v>4</v>
      </c>
      <c r="E100" s="24" t="s">
        <v>397</v>
      </c>
      <c r="F100" s="19"/>
      <c r="G100" s="20">
        <f>G101</f>
        <v>14806.000000000002</v>
      </c>
    </row>
    <row r="101" spans="1:7" ht="31.2" x14ac:dyDescent="0.25">
      <c r="A101" s="38" t="s">
        <v>160</v>
      </c>
      <c r="B101" s="24" t="s">
        <v>0</v>
      </c>
      <c r="C101" s="24" t="s">
        <v>81</v>
      </c>
      <c r="D101" s="24" t="s">
        <v>4</v>
      </c>
      <c r="E101" s="24" t="s">
        <v>397</v>
      </c>
      <c r="F101" s="19" t="s">
        <v>149</v>
      </c>
      <c r="G101" s="20">
        <f>14070.9+9165.5-8430.4</f>
        <v>14806.000000000002</v>
      </c>
    </row>
    <row r="102" spans="1:7" ht="20.399999999999999" customHeight="1" x14ac:dyDescent="0.25">
      <c r="A102" s="38" t="s">
        <v>445</v>
      </c>
      <c r="B102" s="24" t="s">
        <v>0</v>
      </c>
      <c r="C102" s="24" t="s">
        <v>81</v>
      </c>
      <c r="D102" s="24" t="s">
        <v>4</v>
      </c>
      <c r="E102" s="24" t="s">
        <v>289</v>
      </c>
      <c r="F102" s="19"/>
      <c r="G102" s="20">
        <f>G103</f>
        <v>2606.7000000000003</v>
      </c>
    </row>
    <row r="103" spans="1:7" ht="31.2" x14ac:dyDescent="0.25">
      <c r="A103" s="38" t="s">
        <v>160</v>
      </c>
      <c r="B103" s="24" t="s">
        <v>0</v>
      </c>
      <c r="C103" s="24" t="s">
        <v>81</v>
      </c>
      <c r="D103" s="24" t="s">
        <v>4</v>
      </c>
      <c r="E103" s="24" t="s">
        <v>289</v>
      </c>
      <c r="F103" s="19" t="s">
        <v>149</v>
      </c>
      <c r="G103" s="20">
        <f>1425.4+1425.4-244.1</f>
        <v>2606.7000000000003</v>
      </c>
    </row>
    <row r="104" spans="1:7" ht="25.95" customHeight="1" x14ac:dyDescent="0.25">
      <c r="A104" s="38" t="s">
        <v>374</v>
      </c>
      <c r="B104" s="18" t="s">
        <v>0</v>
      </c>
      <c r="C104" s="32">
        <v>1</v>
      </c>
      <c r="D104" s="18" t="s">
        <v>4</v>
      </c>
      <c r="E104" s="18" t="s">
        <v>375</v>
      </c>
      <c r="F104" s="18"/>
      <c r="G104" s="20">
        <f>SUM(G105)</f>
        <v>18.399999999999999</v>
      </c>
    </row>
    <row r="105" spans="1:7" ht="35.4" customHeight="1" x14ac:dyDescent="0.25">
      <c r="A105" s="38" t="s">
        <v>153</v>
      </c>
      <c r="B105" s="18" t="s">
        <v>0</v>
      </c>
      <c r="C105" s="32">
        <v>1</v>
      </c>
      <c r="D105" s="18" t="s">
        <v>4</v>
      </c>
      <c r="E105" s="18" t="s">
        <v>375</v>
      </c>
      <c r="F105" s="18" t="s">
        <v>22</v>
      </c>
      <c r="G105" s="20">
        <f>24-5.6</f>
        <v>18.399999999999999</v>
      </c>
    </row>
    <row r="106" spans="1:7" ht="22.2" customHeight="1" x14ac:dyDescent="0.25">
      <c r="A106" s="38" t="s">
        <v>380</v>
      </c>
      <c r="B106" s="18" t="s">
        <v>0</v>
      </c>
      <c r="C106" s="18" t="s">
        <v>81</v>
      </c>
      <c r="D106" s="18" t="s">
        <v>4</v>
      </c>
      <c r="E106" s="18" t="s">
        <v>381</v>
      </c>
      <c r="F106" s="19"/>
      <c r="G106" s="20">
        <f>SUM(G107)</f>
        <v>16</v>
      </c>
    </row>
    <row r="107" spans="1:7" ht="32.4" customHeight="1" x14ac:dyDescent="0.25">
      <c r="A107" s="38" t="s">
        <v>153</v>
      </c>
      <c r="B107" s="18" t="s">
        <v>0</v>
      </c>
      <c r="C107" s="18" t="s">
        <v>81</v>
      </c>
      <c r="D107" s="18" t="s">
        <v>4</v>
      </c>
      <c r="E107" s="18" t="s">
        <v>381</v>
      </c>
      <c r="F107" s="19" t="s">
        <v>22</v>
      </c>
      <c r="G107" s="20">
        <f>21.5-1.9-3.6</f>
        <v>16</v>
      </c>
    </row>
    <row r="108" spans="1:7" ht="22.95" customHeight="1" x14ac:dyDescent="0.25">
      <c r="A108" s="38" t="s">
        <v>333</v>
      </c>
      <c r="B108" s="19" t="s">
        <v>0</v>
      </c>
      <c r="C108" s="21">
        <v>1</v>
      </c>
      <c r="D108" s="19" t="s">
        <v>4</v>
      </c>
      <c r="E108" s="18" t="s">
        <v>334</v>
      </c>
      <c r="F108" s="19"/>
      <c r="G108" s="20">
        <f>G109</f>
        <v>0</v>
      </c>
    </row>
    <row r="109" spans="1:7" ht="32.4" customHeight="1" x14ac:dyDescent="0.25">
      <c r="A109" s="38" t="s">
        <v>19</v>
      </c>
      <c r="B109" s="19" t="s">
        <v>0</v>
      </c>
      <c r="C109" s="21">
        <v>1</v>
      </c>
      <c r="D109" s="19" t="s">
        <v>4</v>
      </c>
      <c r="E109" s="18" t="s">
        <v>334</v>
      </c>
      <c r="F109" s="19" t="s">
        <v>20</v>
      </c>
      <c r="G109" s="20"/>
    </row>
    <row r="110" spans="1:7" ht="117" customHeight="1" x14ac:dyDescent="0.25">
      <c r="A110" s="39" t="s">
        <v>394</v>
      </c>
      <c r="B110" s="24" t="s">
        <v>0</v>
      </c>
      <c r="C110" s="24" t="s">
        <v>81</v>
      </c>
      <c r="D110" s="24" t="s">
        <v>4</v>
      </c>
      <c r="E110" s="19" t="s">
        <v>393</v>
      </c>
      <c r="F110" s="19"/>
      <c r="G110" s="20">
        <f>G111</f>
        <v>52054</v>
      </c>
    </row>
    <row r="111" spans="1:7" ht="31.2" customHeight="1" x14ac:dyDescent="0.25">
      <c r="A111" s="39" t="s">
        <v>160</v>
      </c>
      <c r="B111" s="24" t="s">
        <v>0</v>
      </c>
      <c r="C111" s="24" t="s">
        <v>81</v>
      </c>
      <c r="D111" s="24" t="s">
        <v>4</v>
      </c>
      <c r="E111" s="19" t="s">
        <v>393</v>
      </c>
      <c r="F111" s="19" t="s">
        <v>149</v>
      </c>
      <c r="G111" s="20">
        <f>45622.1+2239.4+4192.5</f>
        <v>52054</v>
      </c>
    </row>
    <row r="112" spans="1:7" ht="67.2" customHeight="1" x14ac:dyDescent="0.25">
      <c r="A112" s="37" t="s">
        <v>292</v>
      </c>
      <c r="B112" s="24" t="s">
        <v>0</v>
      </c>
      <c r="C112" s="24" t="s">
        <v>81</v>
      </c>
      <c r="D112" s="24" t="s">
        <v>4</v>
      </c>
      <c r="E112" s="24" t="s">
        <v>126</v>
      </c>
      <c r="F112" s="19"/>
      <c r="G112" s="20">
        <f>SUM(G113:G115)</f>
        <v>13077.7</v>
      </c>
    </row>
    <row r="113" spans="1:7" ht="33.75" customHeight="1" x14ac:dyDescent="0.25">
      <c r="A113" s="38" t="s">
        <v>19</v>
      </c>
      <c r="B113" s="24" t="s">
        <v>0</v>
      </c>
      <c r="C113" s="24" t="s">
        <v>81</v>
      </c>
      <c r="D113" s="24" t="s">
        <v>4</v>
      </c>
      <c r="E113" s="24" t="s">
        <v>126</v>
      </c>
      <c r="F113" s="19" t="s">
        <v>20</v>
      </c>
      <c r="G113" s="20">
        <f>77.7-3.3</f>
        <v>74.400000000000006</v>
      </c>
    </row>
    <row r="114" spans="1:7" ht="34.950000000000003" customHeight="1" x14ac:dyDescent="0.25">
      <c r="A114" s="38" t="s">
        <v>145</v>
      </c>
      <c r="B114" s="24" t="s">
        <v>0</v>
      </c>
      <c r="C114" s="24" t="s">
        <v>81</v>
      </c>
      <c r="D114" s="24" t="s">
        <v>4</v>
      </c>
      <c r="E114" s="24" t="s">
        <v>126</v>
      </c>
      <c r="F114" s="19" t="s">
        <v>22</v>
      </c>
      <c r="G114" s="20">
        <f>124.1-5.3</f>
        <v>118.8</v>
      </c>
    </row>
    <row r="115" spans="1:7" ht="20.399999999999999" customHeight="1" x14ac:dyDescent="0.25">
      <c r="A115" s="38" t="s">
        <v>146</v>
      </c>
      <c r="B115" s="24" t="s">
        <v>0</v>
      </c>
      <c r="C115" s="24" t="s">
        <v>81</v>
      </c>
      <c r="D115" s="24" t="s">
        <v>4</v>
      </c>
      <c r="E115" s="24" t="s">
        <v>126</v>
      </c>
      <c r="F115" s="19" t="s">
        <v>147</v>
      </c>
      <c r="G115" s="20">
        <f>13459.3-574.8</f>
        <v>12884.5</v>
      </c>
    </row>
    <row r="116" spans="1:7" ht="62.4" x14ac:dyDescent="0.25">
      <c r="A116" s="37" t="s">
        <v>293</v>
      </c>
      <c r="B116" s="24" t="s">
        <v>0</v>
      </c>
      <c r="C116" s="24" t="s">
        <v>81</v>
      </c>
      <c r="D116" s="24" t="s">
        <v>4</v>
      </c>
      <c r="E116" s="24" t="s">
        <v>118</v>
      </c>
      <c r="F116" s="19"/>
      <c r="G116" s="20">
        <f>SUM(G117:G118)</f>
        <v>1249001.2999999993</v>
      </c>
    </row>
    <row r="117" spans="1:7" ht="51" customHeight="1" x14ac:dyDescent="0.25">
      <c r="A117" s="38" t="s">
        <v>151</v>
      </c>
      <c r="B117" s="24" t="s">
        <v>0</v>
      </c>
      <c r="C117" s="24" t="s">
        <v>81</v>
      </c>
      <c r="D117" s="24" t="s">
        <v>4</v>
      </c>
      <c r="E117" s="24" t="s">
        <v>118</v>
      </c>
      <c r="F117" s="19" t="s">
        <v>20</v>
      </c>
      <c r="G117" s="20">
        <f>14775.1+473+757+158.6+380.7-80.2+71.2+339.4+480.6+16.1-480.6+1469.5</f>
        <v>18360.400000000001</v>
      </c>
    </row>
    <row r="118" spans="1:7" ht="34.950000000000003" customHeight="1" x14ac:dyDescent="0.25">
      <c r="A118" s="38" t="s">
        <v>148</v>
      </c>
      <c r="B118" s="24" t="s">
        <v>0</v>
      </c>
      <c r="C118" s="24" t="s">
        <v>81</v>
      </c>
      <c r="D118" s="24" t="s">
        <v>4</v>
      </c>
      <c r="E118" s="24" t="s">
        <v>118</v>
      </c>
      <c r="F118" s="19" t="s">
        <v>149</v>
      </c>
      <c r="G118" s="20">
        <f>394329.1+590681+31532+50466+10574.7+25380.5-5344.1+4502.6+242.4+1172.9+20707.9+744.4+25510.9+6530.9+7551.7+1074.3+480.6+46040.7+11849.4+2185.4+4427.6</f>
        <v>1230640.8999999994</v>
      </c>
    </row>
    <row r="119" spans="1:7" ht="21.6" customHeight="1" x14ac:dyDescent="0.25">
      <c r="A119" s="37" t="s">
        <v>121</v>
      </c>
      <c r="B119" s="24" t="s">
        <v>0</v>
      </c>
      <c r="C119" s="24" t="s">
        <v>81</v>
      </c>
      <c r="D119" s="24" t="s">
        <v>11</v>
      </c>
      <c r="E119" s="24"/>
      <c r="F119" s="19"/>
      <c r="G119" s="20">
        <f>SUM(G120+G132+G122+G124+G138+G135+G140+G126+G142+G128+G130)</f>
        <v>149493.49999999997</v>
      </c>
    </row>
    <row r="120" spans="1:7" ht="33" customHeight="1" x14ac:dyDescent="0.25">
      <c r="A120" s="41" t="s">
        <v>189</v>
      </c>
      <c r="B120" s="24" t="s">
        <v>0</v>
      </c>
      <c r="C120" s="24" t="s">
        <v>81</v>
      </c>
      <c r="D120" s="24" t="s">
        <v>11</v>
      </c>
      <c r="E120" s="24" t="s">
        <v>122</v>
      </c>
      <c r="F120" s="19"/>
      <c r="G120" s="20">
        <f>SUM(G121:G121)</f>
        <v>3467.1000000000004</v>
      </c>
    </row>
    <row r="121" spans="1:7" ht="36" customHeight="1" x14ac:dyDescent="0.25">
      <c r="A121" s="38" t="s">
        <v>148</v>
      </c>
      <c r="B121" s="24" t="s">
        <v>0</v>
      </c>
      <c r="C121" s="24" t="s">
        <v>81</v>
      </c>
      <c r="D121" s="24" t="s">
        <v>11</v>
      </c>
      <c r="E121" s="24" t="s">
        <v>122</v>
      </c>
      <c r="F121" s="19" t="s">
        <v>149</v>
      </c>
      <c r="G121" s="20">
        <f>2400+1897-77.4-752.5</f>
        <v>3467.1000000000004</v>
      </c>
    </row>
    <row r="122" spans="1:7" ht="34.200000000000003" customHeight="1" x14ac:dyDescent="0.25">
      <c r="A122" s="41" t="s">
        <v>210</v>
      </c>
      <c r="B122" s="24" t="s">
        <v>0</v>
      </c>
      <c r="C122" s="24" t="s">
        <v>81</v>
      </c>
      <c r="D122" s="24" t="s">
        <v>11</v>
      </c>
      <c r="E122" s="24" t="s">
        <v>190</v>
      </c>
      <c r="F122" s="19"/>
      <c r="G122" s="20">
        <f>SUM(G123)</f>
        <v>15861.9</v>
      </c>
    </row>
    <row r="123" spans="1:7" ht="34.950000000000003" customHeight="1" x14ac:dyDescent="0.25">
      <c r="A123" s="38" t="s">
        <v>148</v>
      </c>
      <c r="B123" s="24" t="s">
        <v>0</v>
      </c>
      <c r="C123" s="24" t="s">
        <v>81</v>
      </c>
      <c r="D123" s="24" t="s">
        <v>11</v>
      </c>
      <c r="E123" s="24" t="s">
        <v>190</v>
      </c>
      <c r="F123" s="19" t="s">
        <v>149</v>
      </c>
      <c r="G123" s="20">
        <f>7370.9+7370.9+153.7+370.9-0.1+595.6</f>
        <v>15861.9</v>
      </c>
    </row>
    <row r="124" spans="1:7" ht="34.200000000000003" customHeight="1" x14ac:dyDescent="0.25">
      <c r="A124" s="38" t="s">
        <v>327</v>
      </c>
      <c r="B124" s="24" t="s">
        <v>0</v>
      </c>
      <c r="C124" s="24" t="s">
        <v>81</v>
      </c>
      <c r="D124" s="24" t="s">
        <v>11</v>
      </c>
      <c r="E124" s="24" t="s">
        <v>305</v>
      </c>
      <c r="F124" s="19"/>
      <c r="G124" s="20">
        <f>G125</f>
        <v>9985.0999999999985</v>
      </c>
    </row>
    <row r="125" spans="1:7" s="2" customFormat="1" ht="34.200000000000003" customHeight="1" x14ac:dyDescent="0.25">
      <c r="A125" s="38" t="s">
        <v>148</v>
      </c>
      <c r="B125" s="24" t="s">
        <v>0</v>
      </c>
      <c r="C125" s="24" t="s">
        <v>81</v>
      </c>
      <c r="D125" s="24" t="s">
        <v>11</v>
      </c>
      <c r="E125" s="24" t="s">
        <v>305</v>
      </c>
      <c r="F125" s="19" t="s">
        <v>149</v>
      </c>
      <c r="G125" s="20">
        <f>267.7+673.5+292.9+1176.3+376+1143.1+4064+129.9+1272.8+511.5+77.4</f>
        <v>9985.0999999999985</v>
      </c>
    </row>
    <row r="126" spans="1:7" s="2" customFormat="1" ht="31.2" x14ac:dyDescent="0.25">
      <c r="A126" s="38" t="s">
        <v>340</v>
      </c>
      <c r="B126" s="24" t="s">
        <v>0</v>
      </c>
      <c r="C126" s="24" t="s">
        <v>81</v>
      </c>
      <c r="D126" s="24" t="s">
        <v>11</v>
      </c>
      <c r="E126" s="24" t="s">
        <v>339</v>
      </c>
      <c r="F126" s="19"/>
      <c r="G126" s="20">
        <f>G127</f>
        <v>0</v>
      </c>
    </row>
    <row r="127" spans="1:7" s="2" customFormat="1" ht="31.5" customHeight="1" x14ac:dyDescent="0.25">
      <c r="A127" s="38" t="s">
        <v>148</v>
      </c>
      <c r="B127" s="24" t="s">
        <v>0</v>
      </c>
      <c r="C127" s="24" t="s">
        <v>81</v>
      </c>
      <c r="D127" s="24" t="s">
        <v>11</v>
      </c>
      <c r="E127" s="24" t="s">
        <v>339</v>
      </c>
      <c r="F127" s="19" t="s">
        <v>149</v>
      </c>
      <c r="G127" s="20">
        <f>4135.2-4135.2</f>
        <v>0</v>
      </c>
    </row>
    <row r="128" spans="1:7" s="2" customFormat="1" ht="20.399999999999999" customHeight="1" x14ac:dyDescent="0.25">
      <c r="A128" s="38" t="s">
        <v>458</v>
      </c>
      <c r="B128" s="24" t="s">
        <v>0</v>
      </c>
      <c r="C128" s="24" t="s">
        <v>81</v>
      </c>
      <c r="D128" s="24" t="s">
        <v>11</v>
      </c>
      <c r="E128" s="24" t="s">
        <v>459</v>
      </c>
      <c r="F128" s="19"/>
      <c r="G128" s="20">
        <f>SUM(G129)</f>
        <v>478.9</v>
      </c>
    </row>
    <row r="129" spans="1:7" s="2" customFormat="1" ht="30.75" customHeight="1" x14ac:dyDescent="0.25">
      <c r="A129" s="38" t="s">
        <v>148</v>
      </c>
      <c r="B129" s="24" t="s">
        <v>0</v>
      </c>
      <c r="C129" s="24" t="s">
        <v>81</v>
      </c>
      <c r="D129" s="24" t="s">
        <v>11</v>
      </c>
      <c r="E129" s="24" t="s">
        <v>459</v>
      </c>
      <c r="F129" s="19" t="s">
        <v>149</v>
      </c>
      <c r="G129" s="20">
        <f>137.2+254.2+318.5-451.2-4.5+224.7</f>
        <v>478.9</v>
      </c>
    </row>
    <row r="130" spans="1:7" s="2" customFormat="1" ht="37.200000000000003" customHeight="1" x14ac:dyDescent="0.25">
      <c r="A130" s="38" t="s">
        <v>483</v>
      </c>
      <c r="B130" s="24" t="s">
        <v>0</v>
      </c>
      <c r="C130" s="24" t="s">
        <v>81</v>
      </c>
      <c r="D130" s="24" t="s">
        <v>11</v>
      </c>
      <c r="E130" s="24" t="s">
        <v>482</v>
      </c>
      <c r="F130" s="19"/>
      <c r="G130" s="20">
        <f>G131</f>
        <v>14.5</v>
      </c>
    </row>
    <row r="131" spans="1:7" s="2" customFormat="1" ht="33.75" customHeight="1" x14ac:dyDescent="0.25">
      <c r="A131" s="38" t="s">
        <v>148</v>
      </c>
      <c r="B131" s="24" t="s">
        <v>0</v>
      </c>
      <c r="C131" s="24" t="s">
        <v>81</v>
      </c>
      <c r="D131" s="24" t="s">
        <v>11</v>
      </c>
      <c r="E131" s="24" t="s">
        <v>482</v>
      </c>
      <c r="F131" s="19" t="s">
        <v>149</v>
      </c>
      <c r="G131" s="20">
        <v>14.5</v>
      </c>
    </row>
    <row r="132" spans="1:7" s="2" customFormat="1" ht="51.6" customHeight="1" x14ac:dyDescent="0.25">
      <c r="A132" s="37" t="s">
        <v>42</v>
      </c>
      <c r="B132" s="24" t="s">
        <v>0</v>
      </c>
      <c r="C132" s="24" t="s">
        <v>81</v>
      </c>
      <c r="D132" s="24" t="s">
        <v>11</v>
      </c>
      <c r="E132" s="24" t="s">
        <v>123</v>
      </c>
      <c r="F132" s="19"/>
      <c r="G132" s="20">
        <f>SUM(G133:G134)</f>
        <v>667.8</v>
      </c>
    </row>
    <row r="133" spans="1:7" s="2" customFormat="1" ht="30.6" customHeight="1" x14ac:dyDescent="0.25">
      <c r="A133" s="38" t="s">
        <v>19</v>
      </c>
      <c r="B133" s="24" t="s">
        <v>0</v>
      </c>
      <c r="C133" s="24" t="s">
        <v>81</v>
      </c>
      <c r="D133" s="24" t="s">
        <v>11</v>
      </c>
      <c r="E133" s="24" t="s">
        <v>123</v>
      </c>
      <c r="F133" s="19" t="s">
        <v>20</v>
      </c>
      <c r="G133" s="20">
        <f>13.3-3.5</f>
        <v>9.8000000000000007</v>
      </c>
    </row>
    <row r="134" spans="1:7" s="2" customFormat="1" ht="35.4" customHeight="1" x14ac:dyDescent="0.25">
      <c r="A134" s="38" t="s">
        <v>148</v>
      </c>
      <c r="B134" s="24" t="s">
        <v>0</v>
      </c>
      <c r="C134" s="24" t="s">
        <v>81</v>
      </c>
      <c r="D134" s="24" t="s">
        <v>11</v>
      </c>
      <c r="E134" s="24" t="s">
        <v>123</v>
      </c>
      <c r="F134" s="19" t="s">
        <v>149</v>
      </c>
      <c r="G134" s="20">
        <f>891.1-233.1</f>
        <v>658</v>
      </c>
    </row>
    <row r="135" spans="1:7" s="2" customFormat="1" ht="78.599999999999994" customHeight="1" x14ac:dyDescent="0.25">
      <c r="A135" s="38" t="s">
        <v>396</v>
      </c>
      <c r="B135" s="24" t="s">
        <v>0</v>
      </c>
      <c r="C135" s="24" t="s">
        <v>81</v>
      </c>
      <c r="D135" s="24" t="s">
        <v>11</v>
      </c>
      <c r="E135" s="24" t="s">
        <v>395</v>
      </c>
      <c r="F135" s="19"/>
      <c r="G135" s="20">
        <f>SUM(G136+G137)</f>
        <v>1233.9000000000001</v>
      </c>
    </row>
    <row r="136" spans="1:7" s="2" customFormat="1" ht="51" customHeight="1" x14ac:dyDescent="0.25">
      <c r="A136" s="38" t="s">
        <v>152</v>
      </c>
      <c r="B136" s="24" t="s">
        <v>0</v>
      </c>
      <c r="C136" s="24" t="s">
        <v>81</v>
      </c>
      <c r="D136" s="24" t="s">
        <v>11</v>
      </c>
      <c r="E136" s="24" t="s">
        <v>395</v>
      </c>
      <c r="F136" s="19" t="s">
        <v>20</v>
      </c>
      <c r="G136" s="20">
        <v>18.2</v>
      </c>
    </row>
    <row r="137" spans="1:7" s="2" customFormat="1" ht="30.6" customHeight="1" x14ac:dyDescent="0.25">
      <c r="A137" s="38" t="s">
        <v>148</v>
      </c>
      <c r="B137" s="24" t="s">
        <v>0</v>
      </c>
      <c r="C137" s="24" t="s">
        <v>81</v>
      </c>
      <c r="D137" s="24" t="s">
        <v>11</v>
      </c>
      <c r="E137" s="24" t="s">
        <v>395</v>
      </c>
      <c r="F137" s="19" t="s">
        <v>149</v>
      </c>
      <c r="G137" s="20">
        <v>1215.7</v>
      </c>
    </row>
    <row r="138" spans="1:7" s="2" customFormat="1" ht="54.6" customHeight="1" x14ac:dyDescent="0.25">
      <c r="A138" s="38" t="s">
        <v>332</v>
      </c>
      <c r="B138" s="24" t="s">
        <v>0</v>
      </c>
      <c r="C138" s="24" t="s">
        <v>81</v>
      </c>
      <c r="D138" s="24" t="s">
        <v>11</v>
      </c>
      <c r="E138" s="24" t="s">
        <v>331</v>
      </c>
      <c r="F138" s="19"/>
      <c r="G138" s="20">
        <f>G139</f>
        <v>74621.3</v>
      </c>
    </row>
    <row r="139" spans="1:7" s="2" customFormat="1" ht="30.6" customHeight="1" x14ac:dyDescent="0.25">
      <c r="A139" s="38" t="s">
        <v>148</v>
      </c>
      <c r="B139" s="24" t="s">
        <v>0</v>
      </c>
      <c r="C139" s="24" t="s">
        <v>81</v>
      </c>
      <c r="D139" s="24" t="s">
        <v>11</v>
      </c>
      <c r="E139" s="24" t="s">
        <v>331</v>
      </c>
      <c r="F139" s="19" t="s">
        <v>149</v>
      </c>
      <c r="G139" s="20">
        <f>82194.8+5886.7+375.8-13005.8-830.2</f>
        <v>74621.3</v>
      </c>
    </row>
    <row r="140" spans="1:7" s="2" customFormat="1" ht="46.8" x14ac:dyDescent="0.25">
      <c r="A140" s="38" t="s">
        <v>390</v>
      </c>
      <c r="B140" s="24" t="s">
        <v>0</v>
      </c>
      <c r="C140" s="24" t="s">
        <v>81</v>
      </c>
      <c r="D140" s="24" t="s">
        <v>11</v>
      </c>
      <c r="E140" s="24" t="s">
        <v>389</v>
      </c>
      <c r="F140" s="19"/>
      <c r="G140" s="20">
        <f>SUM(G141)</f>
        <v>12296.3</v>
      </c>
    </row>
    <row r="141" spans="1:7" s="2" customFormat="1" ht="34.200000000000003" customHeight="1" x14ac:dyDescent="0.25">
      <c r="A141" s="38" t="s">
        <v>148</v>
      </c>
      <c r="B141" s="24" t="s">
        <v>0</v>
      </c>
      <c r="C141" s="24" t="s">
        <v>81</v>
      </c>
      <c r="D141" s="24" t="s">
        <v>11</v>
      </c>
      <c r="E141" s="24" t="s">
        <v>389</v>
      </c>
      <c r="F141" s="19" t="s">
        <v>149</v>
      </c>
      <c r="G141" s="20">
        <v>12296.3</v>
      </c>
    </row>
    <row r="142" spans="1:7" s="2" customFormat="1" ht="55.95" customHeight="1" x14ac:dyDescent="0.25">
      <c r="A142" s="38" t="s">
        <v>356</v>
      </c>
      <c r="B142" s="24" t="s">
        <v>0</v>
      </c>
      <c r="C142" s="24" t="s">
        <v>81</v>
      </c>
      <c r="D142" s="24" t="s">
        <v>11</v>
      </c>
      <c r="E142" s="24" t="s">
        <v>355</v>
      </c>
      <c r="F142" s="19"/>
      <c r="G142" s="20">
        <f>G143</f>
        <v>30866.699999999997</v>
      </c>
    </row>
    <row r="143" spans="1:7" s="2" customFormat="1" ht="37.200000000000003" customHeight="1" x14ac:dyDescent="0.25">
      <c r="A143" s="38" t="s">
        <v>148</v>
      </c>
      <c r="B143" s="24" t="s">
        <v>0</v>
      </c>
      <c r="C143" s="24" t="s">
        <v>81</v>
      </c>
      <c r="D143" s="24" t="s">
        <v>11</v>
      </c>
      <c r="E143" s="24" t="s">
        <v>355</v>
      </c>
      <c r="F143" s="19" t="s">
        <v>149</v>
      </c>
      <c r="G143" s="20">
        <f>11357+1148.3+961.8+6975.3+2630.6+7793.7</f>
        <v>30866.699999999997</v>
      </c>
    </row>
    <row r="144" spans="1:7" s="2" customFormat="1" ht="49.95" customHeight="1" x14ac:dyDescent="0.25">
      <c r="A144" s="38" t="s">
        <v>365</v>
      </c>
      <c r="B144" s="24" t="s">
        <v>363</v>
      </c>
      <c r="C144" s="24" t="s">
        <v>81</v>
      </c>
      <c r="D144" s="24" t="s">
        <v>5</v>
      </c>
      <c r="E144" s="24"/>
      <c r="F144" s="19"/>
      <c r="G144" s="20">
        <f>G145</f>
        <v>518.6</v>
      </c>
    </row>
    <row r="145" spans="1:7" s="2" customFormat="1" ht="31.5" customHeight="1" x14ac:dyDescent="0.25">
      <c r="A145" s="38" t="s">
        <v>366</v>
      </c>
      <c r="B145" s="24" t="s">
        <v>0</v>
      </c>
      <c r="C145" s="24" t="s">
        <v>81</v>
      </c>
      <c r="D145" s="24" t="s">
        <v>5</v>
      </c>
      <c r="E145" s="24" t="s">
        <v>364</v>
      </c>
      <c r="F145" s="19"/>
      <c r="G145" s="20">
        <f>G146</f>
        <v>518.6</v>
      </c>
    </row>
    <row r="146" spans="1:7" s="2" customFormat="1" ht="19.95" customHeight="1" x14ac:dyDescent="0.25">
      <c r="A146" s="38" t="s">
        <v>9</v>
      </c>
      <c r="B146" s="24" t="s">
        <v>0</v>
      </c>
      <c r="C146" s="24" t="s">
        <v>81</v>
      </c>
      <c r="D146" s="24" t="s">
        <v>5</v>
      </c>
      <c r="E146" s="24" t="s">
        <v>364</v>
      </c>
      <c r="F146" s="19" t="s">
        <v>31</v>
      </c>
      <c r="G146" s="20">
        <v>518.6</v>
      </c>
    </row>
    <row r="147" spans="1:7" s="2" customFormat="1" ht="31.5" customHeight="1" x14ac:dyDescent="0.25">
      <c r="A147" s="38" t="s">
        <v>499</v>
      </c>
      <c r="B147" s="24" t="s">
        <v>0</v>
      </c>
      <c r="C147" s="24" t="s">
        <v>81</v>
      </c>
      <c r="D147" s="24" t="s">
        <v>469</v>
      </c>
      <c r="E147" s="24"/>
      <c r="F147" s="19"/>
      <c r="G147" s="20">
        <f>SUM(G150+G148)</f>
        <v>6129.0000000000009</v>
      </c>
    </row>
    <row r="148" spans="1:7" s="2" customFormat="1" ht="49.2" customHeight="1" x14ac:dyDescent="0.25">
      <c r="A148" s="38" t="s">
        <v>473</v>
      </c>
      <c r="B148" s="24" t="s">
        <v>0</v>
      </c>
      <c r="C148" s="24" t="s">
        <v>81</v>
      </c>
      <c r="D148" s="24" t="s">
        <v>469</v>
      </c>
      <c r="E148" s="24" t="s">
        <v>474</v>
      </c>
      <c r="F148" s="19"/>
      <c r="G148" s="20">
        <f>SUM(G149)</f>
        <v>5685.4000000000005</v>
      </c>
    </row>
    <row r="149" spans="1:7" s="2" customFormat="1" ht="31.5" customHeight="1" x14ac:dyDescent="0.25">
      <c r="A149" s="38" t="s">
        <v>148</v>
      </c>
      <c r="B149" s="24" t="s">
        <v>0</v>
      </c>
      <c r="C149" s="24" t="s">
        <v>81</v>
      </c>
      <c r="D149" s="24" t="s">
        <v>469</v>
      </c>
      <c r="E149" s="24" t="s">
        <v>474</v>
      </c>
      <c r="F149" s="19" t="s">
        <v>149</v>
      </c>
      <c r="G149" s="20">
        <f>5424.3+261.1</f>
        <v>5685.4000000000005</v>
      </c>
    </row>
    <row r="150" spans="1:7" s="2" customFormat="1" ht="52.2" customHeight="1" x14ac:dyDescent="0.25">
      <c r="A150" s="38" t="s">
        <v>468</v>
      </c>
      <c r="B150" s="24" t="s">
        <v>0</v>
      </c>
      <c r="C150" s="24" t="s">
        <v>81</v>
      </c>
      <c r="D150" s="24" t="s">
        <v>469</v>
      </c>
      <c r="E150" s="24" t="s">
        <v>470</v>
      </c>
      <c r="F150" s="19"/>
      <c r="G150" s="20">
        <f>SUM(G151)</f>
        <v>443.6</v>
      </c>
    </row>
    <row r="151" spans="1:7" s="2" customFormat="1" ht="31.5" customHeight="1" x14ac:dyDescent="0.25">
      <c r="A151" s="38" t="s">
        <v>148</v>
      </c>
      <c r="B151" s="24" t="s">
        <v>0</v>
      </c>
      <c r="C151" s="24" t="s">
        <v>81</v>
      </c>
      <c r="D151" s="24" t="s">
        <v>469</v>
      </c>
      <c r="E151" s="24" t="s">
        <v>470</v>
      </c>
      <c r="F151" s="19" t="s">
        <v>149</v>
      </c>
      <c r="G151" s="20">
        <f>468.8+30-51.9-3.3</f>
        <v>443.6</v>
      </c>
    </row>
    <row r="152" spans="1:7" s="2" customFormat="1" ht="36.6" customHeight="1" x14ac:dyDescent="0.25">
      <c r="A152" s="37" t="s">
        <v>211</v>
      </c>
      <c r="B152" s="18" t="s">
        <v>1</v>
      </c>
      <c r="C152" s="18"/>
      <c r="D152" s="18"/>
      <c r="E152" s="18"/>
      <c r="F152" s="19"/>
      <c r="G152" s="20">
        <f>SUM(G153)</f>
        <v>459432.93004000001</v>
      </c>
    </row>
    <row r="153" spans="1:7" s="2" customFormat="1" ht="34.200000000000003" customHeight="1" x14ac:dyDescent="0.25">
      <c r="A153" s="37" t="s">
        <v>105</v>
      </c>
      <c r="B153" s="18" t="s">
        <v>1</v>
      </c>
      <c r="C153" s="18" t="s">
        <v>81</v>
      </c>
      <c r="D153" s="18"/>
      <c r="E153" s="18"/>
      <c r="F153" s="19"/>
      <c r="G153" s="20">
        <f>SUM(G154+G175+G184)</f>
        <v>459432.93004000001</v>
      </c>
    </row>
    <row r="154" spans="1:7" s="2" customFormat="1" ht="58.2" customHeight="1" x14ac:dyDescent="0.25">
      <c r="A154" s="37" t="s">
        <v>106</v>
      </c>
      <c r="B154" s="18" t="s">
        <v>1</v>
      </c>
      <c r="C154" s="18" t="s">
        <v>81</v>
      </c>
      <c r="D154" s="18" t="s">
        <v>0</v>
      </c>
      <c r="E154" s="18"/>
      <c r="F154" s="19"/>
      <c r="G154" s="20">
        <f>SUM(G168+G155+G171+G159+G166+G163+G173)</f>
        <v>454535.13004000002</v>
      </c>
    </row>
    <row r="155" spans="1:7" s="2" customFormat="1" ht="51" customHeight="1" x14ac:dyDescent="0.25">
      <c r="A155" s="40" t="s">
        <v>144</v>
      </c>
      <c r="B155" s="18" t="s">
        <v>1</v>
      </c>
      <c r="C155" s="18" t="s">
        <v>81</v>
      </c>
      <c r="D155" s="18" t="s">
        <v>0</v>
      </c>
      <c r="E155" s="18" t="s">
        <v>69</v>
      </c>
      <c r="F155" s="19"/>
      <c r="G155" s="20">
        <f>SUM(G156:G158)</f>
        <v>2637.6300400000005</v>
      </c>
    </row>
    <row r="156" spans="1:7" s="2" customFormat="1" ht="48.75" customHeight="1" x14ac:dyDescent="0.25">
      <c r="A156" s="38" t="s">
        <v>152</v>
      </c>
      <c r="B156" s="18" t="s">
        <v>1</v>
      </c>
      <c r="C156" s="18" t="s">
        <v>81</v>
      </c>
      <c r="D156" s="18" t="s">
        <v>0</v>
      </c>
      <c r="E156" s="18" t="s">
        <v>69</v>
      </c>
      <c r="F156" s="19" t="s">
        <v>20</v>
      </c>
      <c r="G156" s="20">
        <f>3039.8+30.3+446.7+38.8-1064.1</f>
        <v>2491.5000000000005</v>
      </c>
    </row>
    <row r="157" spans="1:7" s="2" customFormat="1" ht="33" customHeight="1" x14ac:dyDescent="0.25">
      <c r="A157" s="38" t="s">
        <v>153</v>
      </c>
      <c r="B157" s="18" t="s">
        <v>1</v>
      </c>
      <c r="C157" s="18" t="s">
        <v>81</v>
      </c>
      <c r="D157" s="18" t="s">
        <v>0</v>
      </c>
      <c r="E157" s="18" t="s">
        <v>69</v>
      </c>
      <c r="F157" s="19" t="s">
        <v>22</v>
      </c>
      <c r="G157" s="20">
        <f>234.4+0.03004+2-162.4</f>
        <v>74.030040000000014</v>
      </c>
    </row>
    <row r="158" spans="1:7" s="2" customFormat="1" ht="19.2" customHeight="1" x14ac:dyDescent="0.25">
      <c r="A158" s="38" t="s">
        <v>24</v>
      </c>
      <c r="B158" s="18" t="s">
        <v>1</v>
      </c>
      <c r="C158" s="18" t="s">
        <v>81</v>
      </c>
      <c r="D158" s="18" t="s">
        <v>0</v>
      </c>
      <c r="E158" s="18" t="s">
        <v>69</v>
      </c>
      <c r="F158" s="19" t="s">
        <v>25</v>
      </c>
      <c r="G158" s="20">
        <f>182-109.9</f>
        <v>72.099999999999994</v>
      </c>
    </row>
    <row r="159" spans="1:7" s="2" customFormat="1" ht="33" customHeight="1" x14ac:dyDescent="0.25">
      <c r="A159" s="38" t="s">
        <v>348</v>
      </c>
      <c r="B159" s="18" t="s">
        <v>1</v>
      </c>
      <c r="C159" s="18" t="s">
        <v>81</v>
      </c>
      <c r="D159" s="18" t="s">
        <v>0</v>
      </c>
      <c r="E159" s="18" t="s">
        <v>338</v>
      </c>
      <c r="F159" s="19"/>
      <c r="G159" s="20">
        <f>G160+G162+G161</f>
        <v>154660.90000000005</v>
      </c>
    </row>
    <row r="160" spans="1:7" s="2" customFormat="1" ht="38.4" customHeight="1" x14ac:dyDescent="0.25">
      <c r="A160" s="38" t="s">
        <v>153</v>
      </c>
      <c r="B160" s="18" t="s">
        <v>1</v>
      </c>
      <c r="C160" s="18" t="s">
        <v>81</v>
      </c>
      <c r="D160" s="18" t="s">
        <v>0</v>
      </c>
      <c r="E160" s="18" t="s">
        <v>338</v>
      </c>
      <c r="F160" s="19" t="s">
        <v>22</v>
      </c>
      <c r="G160" s="20">
        <f>5000+998.7+0.1+89.3+463.7+1190.7+2655.9+624.8-463.7-89.9-83.8-631.9+1310.7+542.9-577.2</f>
        <v>11030.3</v>
      </c>
    </row>
    <row r="161" spans="1:7" s="2" customFormat="1" ht="34.950000000000003" customHeight="1" x14ac:dyDescent="0.25">
      <c r="A161" s="38" t="s">
        <v>156</v>
      </c>
      <c r="B161" s="18" t="s">
        <v>1</v>
      </c>
      <c r="C161" s="18" t="s">
        <v>81</v>
      </c>
      <c r="D161" s="18" t="s">
        <v>0</v>
      </c>
      <c r="E161" s="18" t="s">
        <v>338</v>
      </c>
      <c r="F161" s="19" t="s">
        <v>157</v>
      </c>
      <c r="G161" s="20">
        <f>1320.6+9589.4+215+102.2-681.5-89.3+0.3-0.1+118.4-860</f>
        <v>9715</v>
      </c>
    </row>
    <row r="162" spans="1:7" s="2" customFormat="1" ht="31.95" customHeight="1" x14ac:dyDescent="0.25">
      <c r="A162" s="38" t="s">
        <v>160</v>
      </c>
      <c r="B162" s="18" t="s">
        <v>1</v>
      </c>
      <c r="C162" s="18" t="s">
        <v>81</v>
      </c>
      <c r="D162" s="18" t="s">
        <v>0</v>
      </c>
      <c r="E162" s="18" t="s">
        <v>338</v>
      </c>
      <c r="F162" s="19" t="s">
        <v>149</v>
      </c>
      <c r="G162" s="20">
        <f>4781.9+6873.2+1838.2+6697.6+12563.7+4472.6-0.1+3132.1+420+1822.9+3175.9+3516.3+1070.6+1593+1886.9+250+421.3+1202.5+590.2+123.8+301.4+65+275+466.1+125+48+121.4+52.5+624.8+117.2+1182+4794.1+420.8+197.9+438.7+489.2+251.2+755.2+1358.1+1985.3+4695+225.2+463.7+777.8-201.9+1648.9-4013.4+293.5+5055.6+627.1+0.1+3241.5+495.9+812.1-204.8+340.1+2061.4+10766.7+1767+220+1029.2+552.2+1073.7+854.1+525+6831.7+1436.7+949-1508.4+1631.4+134.2+117.3-831.6-543.8+18508.6+1561.2+708.1+86.1-253.9+462.8+577.2-1379.3+541.4+624.5-993.7+0.1-96.3-55.1-6.8-26.6+1079.1+754.5</f>
        <v>133915.60000000006</v>
      </c>
    </row>
    <row r="163" spans="1:7" s="2" customFormat="1" ht="39.6" customHeight="1" x14ac:dyDescent="0.25">
      <c r="A163" s="38" t="s">
        <v>304</v>
      </c>
      <c r="B163" s="18" t="s">
        <v>1</v>
      </c>
      <c r="C163" s="18" t="s">
        <v>81</v>
      </c>
      <c r="D163" s="18" t="s">
        <v>0</v>
      </c>
      <c r="E163" s="18" t="s">
        <v>416</v>
      </c>
      <c r="F163" s="19"/>
      <c r="G163" s="20">
        <f>SUM(G164:G165)</f>
        <v>30477.800000000003</v>
      </c>
    </row>
    <row r="164" spans="1:7" s="2" customFormat="1" ht="38.4" customHeight="1" x14ac:dyDescent="0.25">
      <c r="A164" s="38" t="s">
        <v>153</v>
      </c>
      <c r="B164" s="18" t="s">
        <v>1</v>
      </c>
      <c r="C164" s="18" t="s">
        <v>81</v>
      </c>
      <c r="D164" s="18" t="s">
        <v>0</v>
      </c>
      <c r="E164" s="18" t="s">
        <v>416</v>
      </c>
      <c r="F164" s="19" t="s">
        <v>22</v>
      </c>
      <c r="G164" s="20">
        <f>26960.2-26960.2</f>
        <v>0</v>
      </c>
    </row>
    <row r="165" spans="1:7" s="2" customFormat="1" ht="34.950000000000003" customHeight="1" x14ac:dyDescent="0.25">
      <c r="A165" s="38" t="s">
        <v>148</v>
      </c>
      <c r="B165" s="18" t="s">
        <v>1</v>
      </c>
      <c r="C165" s="18" t="s">
        <v>81</v>
      </c>
      <c r="D165" s="18" t="s">
        <v>0</v>
      </c>
      <c r="E165" s="18" t="s">
        <v>416</v>
      </c>
      <c r="F165" s="19" t="s">
        <v>149</v>
      </c>
      <c r="G165" s="20">
        <f>2500+1160+26960.2-123.3-19.1</f>
        <v>30477.800000000003</v>
      </c>
    </row>
    <row r="166" spans="1:7" s="2" customFormat="1" ht="24" customHeight="1" x14ac:dyDescent="0.25">
      <c r="A166" s="38" t="s">
        <v>472</v>
      </c>
      <c r="B166" s="18" t="s">
        <v>1</v>
      </c>
      <c r="C166" s="18" t="s">
        <v>81</v>
      </c>
      <c r="D166" s="18" t="s">
        <v>0</v>
      </c>
      <c r="E166" s="18" t="s">
        <v>471</v>
      </c>
      <c r="F166" s="19"/>
      <c r="G166" s="20">
        <f>G167</f>
        <v>127023.4</v>
      </c>
    </row>
    <row r="167" spans="1:7" s="2" customFormat="1" ht="36" customHeight="1" x14ac:dyDescent="0.25">
      <c r="A167" s="38" t="s">
        <v>153</v>
      </c>
      <c r="B167" s="18" t="s">
        <v>1</v>
      </c>
      <c r="C167" s="18" t="s">
        <v>81</v>
      </c>
      <c r="D167" s="18" t="s">
        <v>0</v>
      </c>
      <c r="E167" s="18" t="s">
        <v>471</v>
      </c>
      <c r="F167" s="19" t="s">
        <v>22</v>
      </c>
      <c r="G167" s="20">
        <f>151459+9667.8-34103.4</f>
        <v>127023.4</v>
      </c>
    </row>
    <row r="168" spans="1:7" s="2" customFormat="1" ht="19.2" customHeight="1" x14ac:dyDescent="0.25">
      <c r="A168" s="37" t="s">
        <v>335</v>
      </c>
      <c r="B168" s="18" t="s">
        <v>1</v>
      </c>
      <c r="C168" s="18" t="s">
        <v>81</v>
      </c>
      <c r="D168" s="18" t="s">
        <v>0</v>
      </c>
      <c r="E168" s="18" t="s">
        <v>336</v>
      </c>
      <c r="F168" s="19"/>
      <c r="G168" s="20">
        <f>G169+G170</f>
        <v>100456.99999999999</v>
      </c>
    </row>
    <row r="169" spans="1:7" s="2" customFormat="1" ht="36.6" customHeight="1" x14ac:dyDescent="0.25">
      <c r="A169" s="38" t="s">
        <v>153</v>
      </c>
      <c r="B169" s="18" t="s">
        <v>1</v>
      </c>
      <c r="C169" s="18" t="s">
        <v>81</v>
      </c>
      <c r="D169" s="18" t="s">
        <v>0</v>
      </c>
      <c r="E169" s="18" t="s">
        <v>336</v>
      </c>
      <c r="F169" s="19" t="s">
        <v>22</v>
      </c>
      <c r="G169" s="20"/>
    </row>
    <row r="170" spans="1:7" s="2" customFormat="1" ht="32.25" customHeight="1" x14ac:dyDescent="0.25">
      <c r="A170" s="38" t="s">
        <v>156</v>
      </c>
      <c r="B170" s="18" t="s">
        <v>1</v>
      </c>
      <c r="C170" s="18" t="s">
        <v>81</v>
      </c>
      <c r="D170" s="18" t="s">
        <v>0</v>
      </c>
      <c r="E170" s="18" t="s">
        <v>336</v>
      </c>
      <c r="F170" s="19" t="s">
        <v>157</v>
      </c>
      <c r="G170" s="20">
        <f>11687.9+780.1+12219.9+71222.9+4546.2</f>
        <v>100456.99999999999</v>
      </c>
    </row>
    <row r="171" spans="1:7" ht="31.2" customHeight="1" x14ac:dyDescent="0.25">
      <c r="A171" s="37" t="s">
        <v>359</v>
      </c>
      <c r="B171" s="18" t="s">
        <v>1</v>
      </c>
      <c r="C171" s="18" t="s">
        <v>81</v>
      </c>
      <c r="D171" s="18" t="s">
        <v>0</v>
      </c>
      <c r="E171" s="18" t="s">
        <v>360</v>
      </c>
      <c r="F171" s="19"/>
      <c r="G171" s="20">
        <f>SUM(G172)</f>
        <v>7153.5000000000064</v>
      </c>
    </row>
    <row r="172" spans="1:7" ht="31.2" x14ac:dyDescent="0.25">
      <c r="A172" s="38" t="s">
        <v>156</v>
      </c>
      <c r="B172" s="18" t="s">
        <v>1</v>
      </c>
      <c r="C172" s="18" t="s">
        <v>81</v>
      </c>
      <c r="D172" s="18" t="s">
        <v>0</v>
      </c>
      <c r="E172" s="18" t="s">
        <v>360</v>
      </c>
      <c r="F172" s="19" t="s">
        <v>157</v>
      </c>
      <c r="G172" s="20">
        <f>1600+78153.2+395.5+0.1+1558.1+89.9-78153.2+2384.1+1125.8</f>
        <v>7153.5000000000064</v>
      </c>
    </row>
    <row r="173" spans="1:7" ht="32.4" customHeight="1" x14ac:dyDescent="0.25">
      <c r="A173" s="38" t="s">
        <v>479</v>
      </c>
      <c r="B173" s="18" t="s">
        <v>1</v>
      </c>
      <c r="C173" s="18" t="s">
        <v>81</v>
      </c>
      <c r="D173" s="18" t="s">
        <v>0</v>
      </c>
      <c r="E173" s="18" t="s">
        <v>478</v>
      </c>
      <c r="F173" s="19"/>
      <c r="G173" s="20">
        <f>G174</f>
        <v>32124.9</v>
      </c>
    </row>
    <row r="174" spans="1:7" ht="31.2" x14ac:dyDescent="0.25">
      <c r="A174" s="38" t="s">
        <v>153</v>
      </c>
      <c r="B174" s="18" t="s">
        <v>1</v>
      </c>
      <c r="C174" s="18" t="s">
        <v>81</v>
      </c>
      <c r="D174" s="18" t="s">
        <v>0</v>
      </c>
      <c r="E174" s="18" t="s">
        <v>478</v>
      </c>
      <c r="F174" s="19" t="s">
        <v>22</v>
      </c>
      <c r="G174" s="20">
        <f>32666.1-26035.1+25493.9</f>
        <v>32124.9</v>
      </c>
    </row>
    <row r="175" spans="1:7" ht="36.6" customHeight="1" x14ac:dyDescent="0.25">
      <c r="A175" s="40" t="s">
        <v>266</v>
      </c>
      <c r="B175" s="18" t="s">
        <v>1</v>
      </c>
      <c r="C175" s="18" t="s">
        <v>81</v>
      </c>
      <c r="D175" s="18" t="s">
        <v>1</v>
      </c>
      <c r="E175" s="18"/>
      <c r="F175" s="19"/>
      <c r="G175" s="20">
        <f>SUM(G176+G180+G182)</f>
        <v>4897.8</v>
      </c>
    </row>
    <row r="176" spans="1:7" ht="18" customHeight="1" x14ac:dyDescent="0.25">
      <c r="A176" s="40" t="s">
        <v>35</v>
      </c>
      <c r="B176" s="18" t="s">
        <v>1</v>
      </c>
      <c r="C176" s="18" t="s">
        <v>81</v>
      </c>
      <c r="D176" s="18" t="s">
        <v>1</v>
      </c>
      <c r="E176" s="18" t="s">
        <v>54</v>
      </c>
      <c r="F176" s="19"/>
      <c r="G176" s="20">
        <f>SUM(G177:G179)</f>
        <v>4869.5</v>
      </c>
    </row>
    <row r="177" spans="1:7" ht="31.5" customHeight="1" x14ac:dyDescent="0.25">
      <c r="A177" s="38" t="s">
        <v>19</v>
      </c>
      <c r="B177" s="18" t="s">
        <v>1</v>
      </c>
      <c r="C177" s="18" t="s">
        <v>81</v>
      </c>
      <c r="D177" s="18" t="s">
        <v>1</v>
      </c>
      <c r="E177" s="18" t="s">
        <v>54</v>
      </c>
      <c r="F177" s="19" t="s">
        <v>20</v>
      </c>
      <c r="G177" s="20">
        <f>4838.6+48.4-114.7</f>
        <v>4772.3</v>
      </c>
    </row>
    <row r="178" spans="1:7" ht="31.5" customHeight="1" x14ac:dyDescent="0.25">
      <c r="A178" s="38" t="s">
        <v>153</v>
      </c>
      <c r="B178" s="18" t="s">
        <v>1</v>
      </c>
      <c r="C178" s="18" t="s">
        <v>81</v>
      </c>
      <c r="D178" s="18" t="s">
        <v>1</v>
      </c>
      <c r="E178" s="18" t="s">
        <v>54</v>
      </c>
      <c r="F178" s="19" t="s">
        <v>22</v>
      </c>
      <c r="G178" s="20">
        <f>62.7+32.4+2.1</f>
        <v>97.199999999999989</v>
      </c>
    </row>
    <row r="179" spans="1:7" ht="19.2" customHeight="1" x14ac:dyDescent="0.25">
      <c r="A179" s="38" t="s">
        <v>24</v>
      </c>
      <c r="B179" s="18" t="s">
        <v>1</v>
      </c>
      <c r="C179" s="18" t="s">
        <v>81</v>
      </c>
      <c r="D179" s="18" t="s">
        <v>1</v>
      </c>
      <c r="E179" s="18" t="s">
        <v>54</v>
      </c>
      <c r="F179" s="19" t="s">
        <v>25</v>
      </c>
      <c r="G179" s="20">
        <f>2.1-2.1</f>
        <v>0</v>
      </c>
    </row>
    <row r="180" spans="1:7" ht="20.399999999999999" customHeight="1" x14ac:dyDescent="0.25">
      <c r="A180" s="38" t="s">
        <v>374</v>
      </c>
      <c r="B180" s="18" t="s">
        <v>1</v>
      </c>
      <c r="C180" s="32">
        <v>1</v>
      </c>
      <c r="D180" s="18" t="s">
        <v>1</v>
      </c>
      <c r="E180" s="18" t="s">
        <v>375</v>
      </c>
      <c r="F180" s="18"/>
      <c r="G180" s="20">
        <f>SUM(G181)</f>
        <v>17.5</v>
      </c>
    </row>
    <row r="181" spans="1:7" ht="30.75" customHeight="1" x14ac:dyDescent="0.25">
      <c r="A181" s="38" t="s">
        <v>153</v>
      </c>
      <c r="B181" s="18" t="s">
        <v>1</v>
      </c>
      <c r="C181" s="32">
        <v>1</v>
      </c>
      <c r="D181" s="18" t="s">
        <v>1</v>
      </c>
      <c r="E181" s="18" t="s">
        <v>375</v>
      </c>
      <c r="F181" s="18" t="s">
        <v>22</v>
      </c>
      <c r="G181" s="20">
        <f>22.8-5.3</f>
        <v>17.5</v>
      </c>
    </row>
    <row r="182" spans="1:7" ht="22.2" customHeight="1" x14ac:dyDescent="0.25">
      <c r="A182" s="38" t="s">
        <v>380</v>
      </c>
      <c r="B182" s="18" t="s">
        <v>1</v>
      </c>
      <c r="C182" s="18" t="s">
        <v>81</v>
      </c>
      <c r="D182" s="18" t="s">
        <v>1</v>
      </c>
      <c r="E182" s="18" t="s">
        <v>381</v>
      </c>
      <c r="F182" s="19"/>
      <c r="G182" s="20">
        <f>SUM(G183)</f>
        <v>10.799999999999999</v>
      </c>
    </row>
    <row r="183" spans="1:7" ht="30.75" customHeight="1" x14ac:dyDescent="0.25">
      <c r="A183" s="38" t="s">
        <v>153</v>
      </c>
      <c r="B183" s="18" t="s">
        <v>1</v>
      </c>
      <c r="C183" s="18" t="s">
        <v>81</v>
      </c>
      <c r="D183" s="18" t="s">
        <v>1</v>
      </c>
      <c r="E183" s="18" t="s">
        <v>381</v>
      </c>
      <c r="F183" s="19" t="s">
        <v>22</v>
      </c>
      <c r="G183" s="20">
        <f>16.7-5.9</f>
        <v>10.799999999999999</v>
      </c>
    </row>
    <row r="184" spans="1:7" ht="19.95" customHeight="1" x14ac:dyDescent="0.25">
      <c r="A184" s="37" t="s">
        <v>452</v>
      </c>
      <c r="B184" s="18" t="s">
        <v>1</v>
      </c>
      <c r="C184" s="18" t="s">
        <v>81</v>
      </c>
      <c r="D184" s="18" t="s">
        <v>367</v>
      </c>
      <c r="E184" s="18"/>
      <c r="F184" s="19"/>
      <c r="G184" s="20">
        <f>G185</f>
        <v>0</v>
      </c>
    </row>
    <row r="185" spans="1:7" ht="22.95" customHeight="1" x14ac:dyDescent="0.25">
      <c r="A185" s="37" t="s">
        <v>370</v>
      </c>
      <c r="B185" s="18" t="s">
        <v>1</v>
      </c>
      <c r="C185" s="18" t="s">
        <v>81</v>
      </c>
      <c r="D185" s="18" t="s">
        <v>367</v>
      </c>
      <c r="E185" s="18" t="s">
        <v>368</v>
      </c>
      <c r="F185" s="19"/>
      <c r="G185" s="20">
        <f>G186</f>
        <v>0</v>
      </c>
    </row>
    <row r="186" spans="1:7" ht="30.75" customHeight="1" x14ac:dyDescent="0.25">
      <c r="A186" s="38" t="s">
        <v>148</v>
      </c>
      <c r="B186" s="18" t="s">
        <v>1</v>
      </c>
      <c r="C186" s="18" t="s">
        <v>81</v>
      </c>
      <c r="D186" s="18" t="s">
        <v>367</v>
      </c>
      <c r="E186" s="18" t="s">
        <v>368</v>
      </c>
      <c r="F186" s="19" t="s">
        <v>149</v>
      </c>
      <c r="G186" s="20">
        <f>7398-7398</f>
        <v>0</v>
      </c>
    </row>
    <row r="187" spans="1:7" ht="20.399999999999999" customHeight="1" x14ac:dyDescent="0.25">
      <c r="A187" s="37" t="s">
        <v>212</v>
      </c>
      <c r="B187" s="18" t="s">
        <v>2</v>
      </c>
      <c r="C187" s="18"/>
      <c r="D187" s="18"/>
      <c r="E187" s="18"/>
      <c r="F187" s="19"/>
      <c r="G187" s="20">
        <f>SUM(G188+G195)</f>
        <v>82788.399999999994</v>
      </c>
    </row>
    <row r="188" spans="1:7" ht="31.2" x14ac:dyDescent="0.25">
      <c r="A188" s="37" t="s">
        <v>213</v>
      </c>
      <c r="B188" s="18" t="s">
        <v>2</v>
      </c>
      <c r="C188" s="18" t="s">
        <v>81</v>
      </c>
      <c r="D188" s="18"/>
      <c r="E188" s="18"/>
      <c r="F188" s="19"/>
      <c r="G188" s="20">
        <f>SUM(G189+G192)</f>
        <v>82754.799999999988</v>
      </c>
    </row>
    <row r="189" spans="1:7" ht="30.75" customHeight="1" x14ac:dyDescent="0.25">
      <c r="A189" s="37" t="s">
        <v>102</v>
      </c>
      <c r="B189" s="18" t="s">
        <v>2</v>
      </c>
      <c r="C189" s="18" t="s">
        <v>81</v>
      </c>
      <c r="D189" s="18" t="s">
        <v>0</v>
      </c>
      <c r="E189" s="18"/>
      <c r="F189" s="19"/>
      <c r="G189" s="20">
        <f>SUM(G190)</f>
        <v>38000</v>
      </c>
    </row>
    <row r="190" spans="1:7" ht="30.75" customHeight="1" x14ac:dyDescent="0.25">
      <c r="A190" s="38" t="s">
        <v>276</v>
      </c>
      <c r="B190" s="18" t="s">
        <v>2</v>
      </c>
      <c r="C190" s="18" t="s">
        <v>81</v>
      </c>
      <c r="D190" s="18" t="s">
        <v>0</v>
      </c>
      <c r="E190" s="18" t="s">
        <v>277</v>
      </c>
      <c r="F190" s="19"/>
      <c r="G190" s="33">
        <f>G191</f>
        <v>38000</v>
      </c>
    </row>
    <row r="191" spans="1:7" ht="21.6" customHeight="1" x14ac:dyDescent="0.25">
      <c r="A191" s="38" t="s">
        <v>9</v>
      </c>
      <c r="B191" s="18" t="s">
        <v>2</v>
      </c>
      <c r="C191" s="18" t="s">
        <v>81</v>
      </c>
      <c r="D191" s="18" t="s">
        <v>0</v>
      </c>
      <c r="E191" s="18" t="s">
        <v>277</v>
      </c>
      <c r="F191" s="19" t="s">
        <v>31</v>
      </c>
      <c r="G191" s="20">
        <v>38000</v>
      </c>
    </row>
    <row r="192" spans="1:7" s="2" customFormat="1" ht="32.25" customHeight="1" x14ac:dyDescent="0.25">
      <c r="A192" s="38" t="s">
        <v>455</v>
      </c>
      <c r="B192" s="18" t="s">
        <v>2</v>
      </c>
      <c r="C192" s="18" t="s">
        <v>81</v>
      </c>
      <c r="D192" s="18" t="s">
        <v>1</v>
      </c>
      <c r="E192" s="18"/>
      <c r="F192" s="19"/>
      <c r="G192" s="20">
        <f>SUM(G193)</f>
        <v>44754.799999999996</v>
      </c>
    </row>
    <row r="193" spans="1:7" s="2" customFormat="1" ht="38.4" customHeight="1" x14ac:dyDescent="0.25">
      <c r="A193" s="38" t="s">
        <v>457</v>
      </c>
      <c r="B193" s="18" t="s">
        <v>2</v>
      </c>
      <c r="C193" s="18" t="s">
        <v>81</v>
      </c>
      <c r="D193" s="18" t="s">
        <v>1</v>
      </c>
      <c r="E193" s="18" t="s">
        <v>456</v>
      </c>
      <c r="F193" s="19"/>
      <c r="G193" s="20">
        <f>SUM(G194)</f>
        <v>44754.799999999996</v>
      </c>
    </row>
    <row r="194" spans="1:7" s="2" customFormat="1" ht="21" customHeight="1" x14ac:dyDescent="0.25">
      <c r="A194" s="38" t="s">
        <v>9</v>
      </c>
      <c r="B194" s="18" t="s">
        <v>2</v>
      </c>
      <c r="C194" s="18" t="s">
        <v>81</v>
      </c>
      <c r="D194" s="18" t="s">
        <v>1</v>
      </c>
      <c r="E194" s="18" t="s">
        <v>456</v>
      </c>
      <c r="F194" s="19" t="s">
        <v>31</v>
      </c>
      <c r="G194" s="20">
        <f>20000+24548.2+206.6</f>
        <v>44754.799999999996</v>
      </c>
    </row>
    <row r="195" spans="1:7" s="2" customFormat="1" ht="18.600000000000001" customHeight="1" x14ac:dyDescent="0.25">
      <c r="A195" s="40" t="s">
        <v>214</v>
      </c>
      <c r="B195" s="18" t="s">
        <v>2</v>
      </c>
      <c r="C195" s="18" t="s">
        <v>129</v>
      </c>
      <c r="D195" s="18"/>
      <c r="E195" s="18"/>
      <c r="F195" s="19"/>
      <c r="G195" s="20">
        <f>SUM(G196)</f>
        <v>33.6</v>
      </c>
    </row>
    <row r="196" spans="1:7" s="2" customFormat="1" ht="36" customHeight="1" x14ac:dyDescent="0.25">
      <c r="A196" s="40" t="s">
        <v>95</v>
      </c>
      <c r="B196" s="18" t="s">
        <v>2</v>
      </c>
      <c r="C196" s="18" t="s">
        <v>129</v>
      </c>
      <c r="D196" s="18" t="s">
        <v>0</v>
      </c>
      <c r="E196" s="18"/>
      <c r="F196" s="19"/>
      <c r="G196" s="20">
        <f>SUM(G197)</f>
        <v>33.6</v>
      </c>
    </row>
    <row r="197" spans="1:7" s="2" customFormat="1" ht="18.75" customHeight="1" x14ac:dyDescent="0.25">
      <c r="A197" s="37" t="s">
        <v>96</v>
      </c>
      <c r="B197" s="18" t="s">
        <v>2</v>
      </c>
      <c r="C197" s="18" t="s">
        <v>129</v>
      </c>
      <c r="D197" s="18" t="s">
        <v>0</v>
      </c>
      <c r="E197" s="18" t="s">
        <v>97</v>
      </c>
      <c r="F197" s="19"/>
      <c r="G197" s="20">
        <f>SUM(G198:G198)</f>
        <v>33.6</v>
      </c>
    </row>
    <row r="198" spans="1:7" s="2" customFormat="1" ht="20.399999999999999" customHeight="1" x14ac:dyDescent="0.25">
      <c r="A198" s="38" t="s">
        <v>161</v>
      </c>
      <c r="B198" s="18" t="s">
        <v>2</v>
      </c>
      <c r="C198" s="18" t="s">
        <v>129</v>
      </c>
      <c r="D198" s="18" t="s">
        <v>0</v>
      </c>
      <c r="E198" s="18" t="s">
        <v>97</v>
      </c>
      <c r="F198" s="19" t="s">
        <v>162</v>
      </c>
      <c r="G198" s="20">
        <v>33.6</v>
      </c>
    </row>
    <row r="199" spans="1:7" s="2" customFormat="1" ht="18.75" customHeight="1" x14ac:dyDescent="0.25">
      <c r="A199" s="37" t="s">
        <v>215</v>
      </c>
      <c r="B199" s="18" t="s">
        <v>3</v>
      </c>
      <c r="C199" s="18"/>
      <c r="D199" s="18"/>
      <c r="E199" s="18"/>
      <c r="F199" s="19"/>
      <c r="G199" s="20">
        <f>SUM(G200+G221+G237)</f>
        <v>104861.5</v>
      </c>
    </row>
    <row r="200" spans="1:7" s="2" customFormat="1" ht="30.75" customHeight="1" x14ac:dyDescent="0.25">
      <c r="A200" s="37" t="s">
        <v>216</v>
      </c>
      <c r="B200" s="18" t="s">
        <v>3</v>
      </c>
      <c r="C200" s="18" t="s">
        <v>81</v>
      </c>
      <c r="D200" s="18"/>
      <c r="E200" s="18"/>
      <c r="F200" s="19"/>
      <c r="G200" s="20">
        <f>SUM(G201+G212+G218)</f>
        <v>92375.2</v>
      </c>
    </row>
    <row r="201" spans="1:7" s="2" customFormat="1" ht="36.6" customHeight="1" x14ac:dyDescent="0.25">
      <c r="A201" s="37" t="s">
        <v>128</v>
      </c>
      <c r="B201" s="18" t="s">
        <v>3</v>
      </c>
      <c r="C201" s="18" t="s">
        <v>81</v>
      </c>
      <c r="D201" s="18" t="s">
        <v>0</v>
      </c>
      <c r="E201" s="18"/>
      <c r="F201" s="19"/>
      <c r="G201" s="20">
        <f>SUM(G202+G210+G208+G206)</f>
        <v>3116.7999999999997</v>
      </c>
    </row>
    <row r="202" spans="1:7" s="2" customFormat="1" ht="19.2" customHeight="1" x14ac:dyDescent="0.25">
      <c r="A202" s="37" t="s">
        <v>35</v>
      </c>
      <c r="B202" s="18" t="s">
        <v>3</v>
      </c>
      <c r="C202" s="18" t="s">
        <v>81</v>
      </c>
      <c r="D202" s="18" t="s">
        <v>0</v>
      </c>
      <c r="E202" s="18" t="s">
        <v>54</v>
      </c>
      <c r="F202" s="19"/>
      <c r="G202" s="20">
        <f>SUM(G203:G205)</f>
        <v>3039.7999999999997</v>
      </c>
    </row>
    <row r="203" spans="1:7" s="2" customFormat="1" ht="35.4" customHeight="1" x14ac:dyDescent="0.25">
      <c r="A203" s="38" t="s">
        <v>19</v>
      </c>
      <c r="B203" s="18" t="s">
        <v>3</v>
      </c>
      <c r="C203" s="18" t="s">
        <v>81</v>
      </c>
      <c r="D203" s="18" t="s">
        <v>0</v>
      </c>
      <c r="E203" s="18" t="s">
        <v>54</v>
      </c>
      <c r="F203" s="19" t="s">
        <v>20</v>
      </c>
      <c r="G203" s="20">
        <f>2906.2+28.7-0.1+18+38.5</f>
        <v>2991.2999999999997</v>
      </c>
    </row>
    <row r="204" spans="1:7" s="2" customFormat="1" ht="33.6" customHeight="1" x14ac:dyDescent="0.25">
      <c r="A204" s="38" t="s">
        <v>153</v>
      </c>
      <c r="B204" s="18" t="s">
        <v>3</v>
      </c>
      <c r="C204" s="18" t="s">
        <v>81</v>
      </c>
      <c r="D204" s="18" t="s">
        <v>0</v>
      </c>
      <c r="E204" s="18" t="s">
        <v>54</v>
      </c>
      <c r="F204" s="19" t="s">
        <v>22</v>
      </c>
      <c r="G204" s="20">
        <f>59.7+0.1-11.3</f>
        <v>48.5</v>
      </c>
    </row>
    <row r="205" spans="1:7" s="2" customFormat="1" ht="19.2" customHeight="1" x14ac:dyDescent="0.25">
      <c r="A205" s="38" t="s">
        <v>24</v>
      </c>
      <c r="B205" s="18" t="s">
        <v>3</v>
      </c>
      <c r="C205" s="18" t="s">
        <v>81</v>
      </c>
      <c r="D205" s="18" t="s">
        <v>0</v>
      </c>
      <c r="E205" s="18" t="s">
        <v>54</v>
      </c>
      <c r="F205" s="19" t="s">
        <v>25</v>
      </c>
      <c r="G205" s="20"/>
    </row>
    <row r="206" spans="1:7" s="2" customFormat="1" ht="22.2" customHeight="1" x14ac:dyDescent="0.25">
      <c r="A206" s="38" t="s">
        <v>374</v>
      </c>
      <c r="B206" s="18" t="s">
        <v>3</v>
      </c>
      <c r="C206" s="32">
        <v>1</v>
      </c>
      <c r="D206" s="18" t="s">
        <v>0</v>
      </c>
      <c r="E206" s="18" t="s">
        <v>375</v>
      </c>
      <c r="F206" s="18"/>
      <c r="G206" s="20">
        <f>SUM(G207)</f>
        <v>12.5</v>
      </c>
    </row>
    <row r="207" spans="1:7" s="2" customFormat="1" ht="31.2" x14ac:dyDescent="0.25">
      <c r="A207" s="38" t="s">
        <v>153</v>
      </c>
      <c r="B207" s="18" t="s">
        <v>3</v>
      </c>
      <c r="C207" s="32">
        <v>1</v>
      </c>
      <c r="D207" s="18" t="s">
        <v>0</v>
      </c>
      <c r="E207" s="18" t="s">
        <v>375</v>
      </c>
      <c r="F207" s="18" t="s">
        <v>22</v>
      </c>
      <c r="G207" s="20">
        <v>12.5</v>
      </c>
    </row>
    <row r="208" spans="1:7" s="2" customFormat="1" ht="18" customHeight="1" x14ac:dyDescent="0.25">
      <c r="A208" s="38" t="s">
        <v>380</v>
      </c>
      <c r="B208" s="18" t="s">
        <v>3</v>
      </c>
      <c r="C208" s="18" t="s">
        <v>81</v>
      </c>
      <c r="D208" s="18" t="s">
        <v>0</v>
      </c>
      <c r="E208" s="18" t="s">
        <v>381</v>
      </c>
      <c r="F208" s="19"/>
      <c r="G208" s="20">
        <f>SUM(G209)</f>
        <v>64.5</v>
      </c>
    </row>
    <row r="209" spans="1:7" s="2" customFormat="1" ht="39" customHeight="1" x14ac:dyDescent="0.25">
      <c r="A209" s="38" t="s">
        <v>153</v>
      </c>
      <c r="B209" s="18" t="s">
        <v>3</v>
      </c>
      <c r="C209" s="18" t="s">
        <v>81</v>
      </c>
      <c r="D209" s="18" t="s">
        <v>0</v>
      </c>
      <c r="E209" s="18" t="s">
        <v>381</v>
      </c>
      <c r="F209" s="19" t="s">
        <v>22</v>
      </c>
      <c r="G209" s="20">
        <f>17.2+47.3</f>
        <v>64.5</v>
      </c>
    </row>
    <row r="210" spans="1:7" s="2" customFormat="1" ht="97.95" customHeight="1" x14ac:dyDescent="0.25">
      <c r="A210" s="42" t="s">
        <v>290</v>
      </c>
      <c r="B210" s="18" t="s">
        <v>3</v>
      </c>
      <c r="C210" s="18" t="s">
        <v>81</v>
      </c>
      <c r="D210" s="18" t="s">
        <v>0</v>
      </c>
      <c r="E210" s="18" t="s">
        <v>116</v>
      </c>
      <c r="F210" s="19"/>
      <c r="G210" s="20">
        <f>SUM(G211)</f>
        <v>0</v>
      </c>
    </row>
    <row r="211" spans="1:7" s="2" customFormat="1" ht="36" customHeight="1" x14ac:dyDescent="0.25">
      <c r="A211" s="38" t="s">
        <v>153</v>
      </c>
      <c r="B211" s="18" t="s">
        <v>3</v>
      </c>
      <c r="C211" s="18" t="s">
        <v>81</v>
      </c>
      <c r="D211" s="18" t="s">
        <v>0</v>
      </c>
      <c r="E211" s="18" t="s">
        <v>116</v>
      </c>
      <c r="F211" s="19" t="s">
        <v>22</v>
      </c>
      <c r="G211" s="20">
        <f>1-1</f>
        <v>0</v>
      </c>
    </row>
    <row r="212" spans="1:7" s="2" customFormat="1" ht="36.6" customHeight="1" x14ac:dyDescent="0.25">
      <c r="A212" s="37" t="s">
        <v>217</v>
      </c>
      <c r="B212" s="18" t="s">
        <v>3</v>
      </c>
      <c r="C212" s="18" t="s">
        <v>81</v>
      </c>
      <c r="D212" s="18" t="s">
        <v>1</v>
      </c>
      <c r="E212" s="18" t="s">
        <v>53</v>
      </c>
      <c r="F212" s="19"/>
      <c r="G212" s="20">
        <f>G213</f>
        <v>10677.5</v>
      </c>
    </row>
    <row r="213" spans="1:7" s="2" customFormat="1" ht="49.95" customHeight="1" x14ac:dyDescent="0.25">
      <c r="A213" s="40" t="s">
        <v>40</v>
      </c>
      <c r="B213" s="18" t="s">
        <v>3</v>
      </c>
      <c r="C213" s="18" t="s">
        <v>81</v>
      </c>
      <c r="D213" s="18" t="s">
        <v>1</v>
      </c>
      <c r="E213" s="18" t="s">
        <v>69</v>
      </c>
      <c r="F213" s="19"/>
      <c r="G213" s="20">
        <f>SUM(G214:G217)</f>
        <v>10677.5</v>
      </c>
    </row>
    <row r="214" spans="1:7" s="2" customFormat="1" ht="36" customHeight="1" x14ac:dyDescent="0.25">
      <c r="A214" s="38" t="s">
        <v>19</v>
      </c>
      <c r="B214" s="18" t="s">
        <v>3</v>
      </c>
      <c r="C214" s="18" t="s">
        <v>81</v>
      </c>
      <c r="D214" s="18" t="s">
        <v>1</v>
      </c>
      <c r="E214" s="18" t="s">
        <v>69</v>
      </c>
      <c r="F214" s="19" t="s">
        <v>20</v>
      </c>
      <c r="G214" s="20">
        <f>7124.6+70.8+26.1</f>
        <v>7221.5000000000009</v>
      </c>
    </row>
    <row r="215" spans="1:7" s="2" customFormat="1" ht="33.6" customHeight="1" x14ac:dyDescent="0.25">
      <c r="A215" s="38" t="s">
        <v>153</v>
      </c>
      <c r="B215" s="18" t="s">
        <v>3</v>
      </c>
      <c r="C215" s="18" t="s">
        <v>81</v>
      </c>
      <c r="D215" s="18" t="s">
        <v>1</v>
      </c>
      <c r="E215" s="18" t="s">
        <v>69</v>
      </c>
      <c r="F215" s="19" t="s">
        <v>22</v>
      </c>
      <c r="G215" s="20">
        <f>2113.9+88.2-2.2-18-26.1</f>
        <v>2155.8000000000002</v>
      </c>
    </row>
    <row r="216" spans="1:7" s="2" customFormat="1" ht="17.25" customHeight="1" x14ac:dyDescent="0.25">
      <c r="A216" s="38" t="s">
        <v>9</v>
      </c>
      <c r="B216" s="18" t="s">
        <v>3</v>
      </c>
      <c r="C216" s="18" t="s">
        <v>81</v>
      </c>
      <c r="D216" s="18" t="s">
        <v>1</v>
      </c>
      <c r="E216" s="18" t="s">
        <v>69</v>
      </c>
      <c r="F216" s="19" t="s">
        <v>31</v>
      </c>
      <c r="G216" s="20">
        <v>1288.4000000000001</v>
      </c>
    </row>
    <row r="217" spans="1:7" s="2" customFormat="1" x14ac:dyDescent="0.25">
      <c r="A217" s="38" t="s">
        <v>24</v>
      </c>
      <c r="B217" s="18" t="s">
        <v>3</v>
      </c>
      <c r="C217" s="18" t="s">
        <v>81</v>
      </c>
      <c r="D217" s="18" t="s">
        <v>1</v>
      </c>
      <c r="E217" s="18" t="s">
        <v>69</v>
      </c>
      <c r="F217" s="19" t="s">
        <v>25</v>
      </c>
      <c r="G217" s="20">
        <v>11.8</v>
      </c>
    </row>
    <row r="218" spans="1:7" s="2" customFormat="1" ht="31.2" x14ac:dyDescent="0.25">
      <c r="A218" s="39" t="s">
        <v>218</v>
      </c>
      <c r="B218" s="18" t="s">
        <v>3</v>
      </c>
      <c r="C218" s="18" t="s">
        <v>81</v>
      </c>
      <c r="D218" s="18" t="s">
        <v>2</v>
      </c>
      <c r="E218" s="18" t="s">
        <v>53</v>
      </c>
      <c r="F218" s="19"/>
      <c r="G218" s="20">
        <f>SUM(G219)</f>
        <v>78580.899999999994</v>
      </c>
    </row>
    <row r="219" spans="1:7" s="2" customFormat="1" ht="51.6" customHeight="1" x14ac:dyDescent="0.25">
      <c r="A219" s="40" t="s">
        <v>144</v>
      </c>
      <c r="B219" s="18" t="s">
        <v>3</v>
      </c>
      <c r="C219" s="18" t="s">
        <v>81</v>
      </c>
      <c r="D219" s="18" t="s">
        <v>2</v>
      </c>
      <c r="E219" s="18" t="s">
        <v>69</v>
      </c>
      <c r="F219" s="19"/>
      <c r="G219" s="20">
        <f>SUM(G220:G220)</f>
        <v>78580.899999999994</v>
      </c>
    </row>
    <row r="220" spans="1:7" s="2" customFormat="1" ht="31.2" x14ac:dyDescent="0.25">
      <c r="A220" s="38" t="s">
        <v>160</v>
      </c>
      <c r="B220" s="18" t="s">
        <v>3</v>
      </c>
      <c r="C220" s="18" t="s">
        <v>81</v>
      </c>
      <c r="D220" s="18" t="s">
        <v>2</v>
      </c>
      <c r="E220" s="18" t="s">
        <v>69</v>
      </c>
      <c r="F220" s="19" t="s">
        <v>149</v>
      </c>
      <c r="G220" s="20">
        <f>75027.7+3553.2</f>
        <v>78580.899999999994</v>
      </c>
    </row>
    <row r="221" spans="1:7" s="2" customFormat="1" ht="31.2" x14ac:dyDescent="0.25">
      <c r="A221" s="40" t="s">
        <v>219</v>
      </c>
      <c r="B221" s="18" t="s">
        <v>3</v>
      </c>
      <c r="C221" s="18" t="s">
        <v>129</v>
      </c>
      <c r="D221" s="18"/>
      <c r="E221" s="18"/>
      <c r="F221" s="19"/>
      <c r="G221" s="20">
        <f>SUM(G222)</f>
        <v>9539</v>
      </c>
    </row>
    <row r="222" spans="1:7" s="2" customFormat="1" ht="54" customHeight="1" x14ac:dyDescent="0.25">
      <c r="A222" s="40" t="s">
        <v>282</v>
      </c>
      <c r="B222" s="18" t="s">
        <v>3</v>
      </c>
      <c r="C222" s="18" t="s">
        <v>129</v>
      </c>
      <c r="D222" s="18" t="s">
        <v>0</v>
      </c>
      <c r="E222" s="18"/>
      <c r="F222" s="19"/>
      <c r="G222" s="20">
        <f>SUM(G223+G234+G226+G228+G230+G232)</f>
        <v>9539</v>
      </c>
    </row>
    <row r="223" spans="1:7" s="2" customFormat="1" ht="51.6" customHeight="1" x14ac:dyDescent="0.25">
      <c r="A223" s="40" t="s">
        <v>349</v>
      </c>
      <c r="B223" s="18" t="s">
        <v>3</v>
      </c>
      <c r="C223" s="18" t="s">
        <v>129</v>
      </c>
      <c r="D223" s="18" t="s">
        <v>0</v>
      </c>
      <c r="E223" s="18" t="s">
        <v>127</v>
      </c>
      <c r="F223" s="19"/>
      <c r="G223" s="20">
        <f>SUM(G224:G225)</f>
        <v>0</v>
      </c>
    </row>
    <row r="224" spans="1:7" s="2" customFormat="1" ht="33" customHeight="1" x14ac:dyDescent="0.25">
      <c r="A224" s="38" t="s">
        <v>153</v>
      </c>
      <c r="B224" s="18" t="s">
        <v>3</v>
      </c>
      <c r="C224" s="18" t="s">
        <v>129</v>
      </c>
      <c r="D224" s="18" t="s">
        <v>0</v>
      </c>
      <c r="E224" s="18" t="s">
        <v>127</v>
      </c>
      <c r="F224" s="19" t="s">
        <v>22</v>
      </c>
      <c r="G224" s="20"/>
    </row>
    <row r="225" spans="1:7" s="2" customFormat="1" ht="17.25" customHeight="1" x14ac:dyDescent="0.25">
      <c r="A225" s="38" t="s">
        <v>155</v>
      </c>
      <c r="B225" s="18" t="s">
        <v>3</v>
      </c>
      <c r="C225" s="18" t="s">
        <v>129</v>
      </c>
      <c r="D225" s="18" t="s">
        <v>0</v>
      </c>
      <c r="E225" s="18" t="s">
        <v>127</v>
      </c>
      <c r="F225" s="19" t="s">
        <v>147</v>
      </c>
      <c r="G225" s="20"/>
    </row>
    <row r="226" spans="1:7" s="2" customFormat="1" ht="48" customHeight="1" x14ac:dyDescent="0.25">
      <c r="A226" s="41" t="s">
        <v>227</v>
      </c>
      <c r="B226" s="18" t="s">
        <v>3</v>
      </c>
      <c r="C226" s="18" t="s">
        <v>129</v>
      </c>
      <c r="D226" s="18" t="s">
        <v>0</v>
      </c>
      <c r="E226" s="18" t="s">
        <v>194</v>
      </c>
      <c r="F226" s="19"/>
      <c r="G226" s="20">
        <f>SUM(G227)</f>
        <v>8996.6</v>
      </c>
    </row>
    <row r="227" spans="1:7" s="2" customFormat="1" ht="31.2" customHeight="1" x14ac:dyDescent="0.25">
      <c r="A227" s="38" t="s">
        <v>160</v>
      </c>
      <c r="B227" s="18" t="s">
        <v>3</v>
      </c>
      <c r="C227" s="18" t="s">
        <v>129</v>
      </c>
      <c r="D227" s="18" t="s">
        <v>0</v>
      </c>
      <c r="E227" s="18" t="s">
        <v>194</v>
      </c>
      <c r="F227" s="19" t="s">
        <v>149</v>
      </c>
      <c r="G227" s="20">
        <f>4498.3+4498.3</f>
        <v>8996.6</v>
      </c>
    </row>
    <row r="228" spans="1:7" s="2" customFormat="1" ht="33" customHeight="1" x14ac:dyDescent="0.25">
      <c r="A228" s="41" t="s">
        <v>220</v>
      </c>
      <c r="B228" s="18" t="s">
        <v>3</v>
      </c>
      <c r="C228" s="18" t="s">
        <v>129</v>
      </c>
      <c r="D228" s="18" t="s">
        <v>0</v>
      </c>
      <c r="E228" s="18" t="s">
        <v>195</v>
      </c>
      <c r="F228" s="19"/>
      <c r="G228" s="20">
        <f>SUM(G229)</f>
        <v>0</v>
      </c>
    </row>
    <row r="229" spans="1:7" s="2" customFormat="1" ht="33" customHeight="1" x14ac:dyDescent="0.25">
      <c r="A229" s="38" t="s">
        <v>160</v>
      </c>
      <c r="B229" s="18" t="s">
        <v>3</v>
      </c>
      <c r="C229" s="18" t="s">
        <v>129</v>
      </c>
      <c r="D229" s="18" t="s">
        <v>0</v>
      </c>
      <c r="E229" s="18" t="s">
        <v>195</v>
      </c>
      <c r="F229" s="19" t="s">
        <v>149</v>
      </c>
      <c r="G229" s="20"/>
    </row>
    <row r="230" spans="1:7" s="2" customFormat="1" ht="48" customHeight="1" x14ac:dyDescent="0.25">
      <c r="A230" s="41" t="s">
        <v>221</v>
      </c>
      <c r="B230" s="18" t="s">
        <v>3</v>
      </c>
      <c r="C230" s="18" t="s">
        <v>129</v>
      </c>
      <c r="D230" s="18" t="s">
        <v>0</v>
      </c>
      <c r="E230" s="18" t="s">
        <v>206</v>
      </c>
      <c r="F230" s="19"/>
      <c r="G230" s="20">
        <f>SUM(G231)</f>
        <v>470</v>
      </c>
    </row>
    <row r="231" spans="1:7" s="2" customFormat="1" ht="31.5" customHeight="1" x14ac:dyDescent="0.25">
      <c r="A231" s="39" t="s">
        <v>160</v>
      </c>
      <c r="B231" s="18" t="s">
        <v>3</v>
      </c>
      <c r="C231" s="18" t="s">
        <v>129</v>
      </c>
      <c r="D231" s="18" t="s">
        <v>0</v>
      </c>
      <c r="E231" s="18" t="s">
        <v>206</v>
      </c>
      <c r="F231" s="19" t="s">
        <v>149</v>
      </c>
      <c r="G231" s="20">
        <f>120+360-10</f>
        <v>470</v>
      </c>
    </row>
    <row r="232" spans="1:7" s="2" customFormat="1" ht="21" customHeight="1" x14ac:dyDescent="0.25">
      <c r="A232" s="38" t="s">
        <v>341</v>
      </c>
      <c r="B232" s="18" t="s">
        <v>3</v>
      </c>
      <c r="C232" s="18" t="s">
        <v>129</v>
      </c>
      <c r="D232" s="18" t="s">
        <v>0</v>
      </c>
      <c r="E232" s="18" t="s">
        <v>334</v>
      </c>
      <c r="F232" s="19"/>
      <c r="G232" s="20">
        <f>G233</f>
        <v>0</v>
      </c>
    </row>
    <row r="233" spans="1:7" s="2" customFormat="1" ht="37.950000000000003" customHeight="1" x14ac:dyDescent="0.25">
      <c r="A233" s="38" t="s">
        <v>19</v>
      </c>
      <c r="B233" s="18" t="s">
        <v>3</v>
      </c>
      <c r="C233" s="18" t="s">
        <v>129</v>
      </c>
      <c r="D233" s="18" t="s">
        <v>0</v>
      </c>
      <c r="E233" s="18" t="s">
        <v>334</v>
      </c>
      <c r="F233" s="19" t="s">
        <v>20</v>
      </c>
      <c r="G233" s="20"/>
    </row>
    <row r="234" spans="1:7" s="2" customFormat="1" ht="99" customHeight="1" x14ac:dyDescent="0.25">
      <c r="A234" s="42" t="s">
        <v>290</v>
      </c>
      <c r="B234" s="18" t="s">
        <v>3</v>
      </c>
      <c r="C234" s="18" t="s">
        <v>129</v>
      </c>
      <c r="D234" s="18" t="s">
        <v>0</v>
      </c>
      <c r="E234" s="18" t="s">
        <v>116</v>
      </c>
      <c r="F234" s="19"/>
      <c r="G234" s="20">
        <f>SUM(G235:G236)</f>
        <v>72.399999999999991</v>
      </c>
    </row>
    <row r="235" spans="1:7" s="2" customFormat="1" ht="31.2" x14ac:dyDescent="0.25">
      <c r="A235" s="38" t="s">
        <v>153</v>
      </c>
      <c r="B235" s="18" t="s">
        <v>3</v>
      </c>
      <c r="C235" s="18" t="s">
        <v>129</v>
      </c>
      <c r="D235" s="18" t="s">
        <v>0</v>
      </c>
      <c r="E235" s="18" t="s">
        <v>116</v>
      </c>
      <c r="F235" s="19" t="s">
        <v>22</v>
      </c>
      <c r="G235" s="20">
        <v>1.1000000000000001</v>
      </c>
    </row>
    <row r="236" spans="1:7" s="2" customFormat="1" ht="31.2" x14ac:dyDescent="0.25">
      <c r="A236" s="38" t="s">
        <v>160</v>
      </c>
      <c r="B236" s="18" t="s">
        <v>3</v>
      </c>
      <c r="C236" s="18" t="s">
        <v>129</v>
      </c>
      <c r="D236" s="18" t="s">
        <v>0</v>
      </c>
      <c r="E236" s="18" t="s">
        <v>116</v>
      </c>
      <c r="F236" s="19" t="s">
        <v>149</v>
      </c>
      <c r="G236" s="20">
        <v>71.3</v>
      </c>
    </row>
    <row r="237" spans="1:7" s="2" customFormat="1" ht="21" customHeight="1" x14ac:dyDescent="0.25">
      <c r="A237" s="37" t="s">
        <v>283</v>
      </c>
      <c r="B237" s="18" t="s">
        <v>3</v>
      </c>
      <c r="C237" s="18" t="s">
        <v>139</v>
      </c>
      <c r="D237" s="18"/>
      <c r="E237" s="18"/>
      <c r="F237" s="19"/>
      <c r="G237" s="20">
        <f>SUM(G238+G244+G247)</f>
        <v>2947.2999999999997</v>
      </c>
    </row>
    <row r="238" spans="1:7" s="2" customFormat="1" ht="32.4" customHeight="1" x14ac:dyDescent="0.25">
      <c r="A238" s="43" t="s">
        <v>88</v>
      </c>
      <c r="B238" s="18" t="s">
        <v>3</v>
      </c>
      <c r="C238" s="18" t="s">
        <v>139</v>
      </c>
      <c r="D238" s="18" t="s">
        <v>0</v>
      </c>
      <c r="E238" s="18"/>
      <c r="F238" s="19"/>
      <c r="G238" s="20">
        <f>SUM(G239)</f>
        <v>2797.4999999999995</v>
      </c>
    </row>
    <row r="239" spans="1:7" s="2" customFormat="1" ht="31.2" x14ac:dyDescent="0.25">
      <c r="A239" s="40" t="s">
        <v>350</v>
      </c>
      <c r="B239" s="18" t="s">
        <v>3</v>
      </c>
      <c r="C239" s="18" t="s">
        <v>139</v>
      </c>
      <c r="D239" s="18" t="s">
        <v>0</v>
      </c>
      <c r="E239" s="18" t="s">
        <v>89</v>
      </c>
      <c r="F239" s="19"/>
      <c r="G239" s="20">
        <f>SUM(G240:G243)</f>
        <v>2797.4999999999995</v>
      </c>
    </row>
    <row r="240" spans="1:7" s="2" customFormat="1" ht="33.6" customHeight="1" x14ac:dyDescent="0.25">
      <c r="A240" s="38" t="s">
        <v>19</v>
      </c>
      <c r="B240" s="18" t="s">
        <v>3</v>
      </c>
      <c r="C240" s="18" t="s">
        <v>139</v>
      </c>
      <c r="D240" s="18" t="s">
        <v>0</v>
      </c>
      <c r="E240" s="18" t="s">
        <v>89</v>
      </c>
      <c r="F240" s="19" t="s">
        <v>20</v>
      </c>
      <c r="G240" s="20"/>
    </row>
    <row r="241" spans="1:7" s="2" customFormat="1" ht="31.5" customHeight="1" x14ac:dyDescent="0.25">
      <c r="A241" s="38" t="s">
        <v>153</v>
      </c>
      <c r="B241" s="18" t="s">
        <v>3</v>
      </c>
      <c r="C241" s="18" t="s">
        <v>139</v>
      </c>
      <c r="D241" s="18" t="s">
        <v>0</v>
      </c>
      <c r="E241" s="18" t="s">
        <v>89</v>
      </c>
      <c r="F241" s="19" t="s">
        <v>22</v>
      </c>
      <c r="G241" s="20">
        <f>1647.6-90+260+422.8+0.1+209.1+2.2-108-16.3</f>
        <v>2327.4999999999995</v>
      </c>
    </row>
    <row r="242" spans="1:7" s="2" customFormat="1" ht="18" customHeight="1" x14ac:dyDescent="0.25">
      <c r="A242" s="38" t="s">
        <v>155</v>
      </c>
      <c r="B242" s="18" t="s">
        <v>3</v>
      </c>
      <c r="C242" s="18" t="s">
        <v>139</v>
      </c>
      <c r="D242" s="18" t="s">
        <v>0</v>
      </c>
      <c r="E242" s="18" t="s">
        <v>89</v>
      </c>
      <c r="F242" s="19" t="s">
        <v>147</v>
      </c>
      <c r="G242" s="20">
        <v>90</v>
      </c>
    </row>
    <row r="243" spans="1:7" s="2" customFormat="1" ht="34.200000000000003" customHeight="1" x14ac:dyDescent="0.25">
      <c r="A243" s="39" t="s">
        <v>160</v>
      </c>
      <c r="B243" s="18" t="s">
        <v>3</v>
      </c>
      <c r="C243" s="18" t="s">
        <v>139</v>
      </c>
      <c r="D243" s="18" t="s">
        <v>0</v>
      </c>
      <c r="E243" s="18" t="s">
        <v>89</v>
      </c>
      <c r="F243" s="19" t="s">
        <v>149</v>
      </c>
      <c r="G243" s="20">
        <f>90+131+72+108-21</f>
        <v>380</v>
      </c>
    </row>
    <row r="244" spans="1:7" s="2" customFormat="1" ht="30.75" customHeight="1" x14ac:dyDescent="0.25">
      <c r="A244" s="39" t="s">
        <v>415</v>
      </c>
      <c r="B244" s="18" t="s">
        <v>3</v>
      </c>
      <c r="C244" s="18" t="s">
        <v>139</v>
      </c>
      <c r="D244" s="18" t="s">
        <v>1</v>
      </c>
      <c r="E244" s="18"/>
      <c r="F244" s="19"/>
      <c r="G244" s="20">
        <f>G245</f>
        <v>149.80000000000001</v>
      </c>
    </row>
    <row r="245" spans="1:7" s="2" customFormat="1" ht="22.95" customHeight="1" x14ac:dyDescent="0.25">
      <c r="A245" s="39" t="s">
        <v>370</v>
      </c>
      <c r="B245" s="18" t="s">
        <v>3</v>
      </c>
      <c r="C245" s="18" t="s">
        <v>139</v>
      </c>
      <c r="D245" s="18" t="s">
        <v>1</v>
      </c>
      <c r="E245" s="18" t="s">
        <v>414</v>
      </c>
      <c r="F245" s="19"/>
      <c r="G245" s="20">
        <f>G246</f>
        <v>149.80000000000001</v>
      </c>
    </row>
    <row r="246" spans="1:7" s="2" customFormat="1" x14ac:dyDescent="0.25">
      <c r="A246" s="39" t="s">
        <v>9</v>
      </c>
      <c r="B246" s="18" t="s">
        <v>3</v>
      </c>
      <c r="C246" s="18" t="s">
        <v>139</v>
      </c>
      <c r="D246" s="18" t="s">
        <v>1</v>
      </c>
      <c r="E246" s="18" t="s">
        <v>414</v>
      </c>
      <c r="F246" s="19" t="s">
        <v>31</v>
      </c>
      <c r="G246" s="20">
        <v>149.80000000000001</v>
      </c>
    </row>
    <row r="247" spans="1:7" s="2" customFormat="1" x14ac:dyDescent="0.25">
      <c r="A247" s="37" t="s">
        <v>369</v>
      </c>
      <c r="B247" s="18" t="s">
        <v>3</v>
      </c>
      <c r="C247" s="18" t="s">
        <v>139</v>
      </c>
      <c r="D247" s="18" t="s">
        <v>367</v>
      </c>
      <c r="E247" s="18"/>
      <c r="F247" s="19"/>
      <c r="G247" s="20">
        <f>G248</f>
        <v>0</v>
      </c>
    </row>
    <row r="248" spans="1:7" s="2" customFormat="1" x14ac:dyDescent="0.25">
      <c r="A248" s="37" t="s">
        <v>370</v>
      </c>
      <c r="B248" s="18" t="s">
        <v>3</v>
      </c>
      <c r="C248" s="18" t="s">
        <v>139</v>
      </c>
      <c r="D248" s="18" t="s">
        <v>367</v>
      </c>
      <c r="E248" s="18" t="s">
        <v>368</v>
      </c>
      <c r="F248" s="19"/>
      <c r="G248" s="20">
        <f>G249</f>
        <v>0</v>
      </c>
    </row>
    <row r="249" spans="1:7" s="2" customFormat="1" ht="33.6" customHeight="1" x14ac:dyDescent="0.25">
      <c r="A249" s="38" t="s">
        <v>148</v>
      </c>
      <c r="B249" s="18" t="s">
        <v>3</v>
      </c>
      <c r="C249" s="18" t="s">
        <v>139</v>
      </c>
      <c r="D249" s="18" t="s">
        <v>367</v>
      </c>
      <c r="E249" s="18" t="s">
        <v>368</v>
      </c>
      <c r="F249" s="19" t="s">
        <v>149</v>
      </c>
      <c r="G249" s="20"/>
    </row>
    <row r="250" spans="1:7" s="2" customFormat="1" ht="31.2" x14ac:dyDescent="0.25">
      <c r="A250" s="37" t="s">
        <v>222</v>
      </c>
      <c r="B250" s="18" t="s">
        <v>4</v>
      </c>
      <c r="C250" s="18"/>
      <c r="D250" s="18"/>
      <c r="E250" s="18"/>
      <c r="F250" s="19"/>
      <c r="G250" s="20">
        <f>SUM(G251+G264+G292)</f>
        <v>166386.19999999998</v>
      </c>
    </row>
    <row r="251" spans="1:7" s="2" customFormat="1" ht="46.8" x14ac:dyDescent="0.25">
      <c r="A251" s="37" t="s">
        <v>223</v>
      </c>
      <c r="B251" s="18" t="s">
        <v>4</v>
      </c>
      <c r="C251" s="18" t="s">
        <v>81</v>
      </c>
      <c r="D251" s="18"/>
      <c r="E251" s="18"/>
      <c r="F251" s="19"/>
      <c r="G251" s="20">
        <f>SUM(G252+G261)</f>
        <v>4034.0000000000005</v>
      </c>
    </row>
    <row r="252" spans="1:7" s="2" customFormat="1" ht="37.950000000000003" customHeight="1" x14ac:dyDescent="0.25">
      <c r="A252" s="37" t="s">
        <v>133</v>
      </c>
      <c r="B252" s="18" t="s">
        <v>4</v>
      </c>
      <c r="C252" s="18" t="s">
        <v>81</v>
      </c>
      <c r="D252" s="18" t="s">
        <v>0</v>
      </c>
      <c r="E252" s="18"/>
      <c r="F252" s="19"/>
      <c r="G252" s="20">
        <f>SUM(G253+G257+G259)</f>
        <v>4034.0000000000005</v>
      </c>
    </row>
    <row r="253" spans="1:7" s="2" customFormat="1" ht="21" customHeight="1" x14ac:dyDescent="0.25">
      <c r="A253" s="37" t="s">
        <v>35</v>
      </c>
      <c r="B253" s="18" t="s">
        <v>4</v>
      </c>
      <c r="C253" s="18" t="s">
        <v>81</v>
      </c>
      <c r="D253" s="18" t="s">
        <v>0</v>
      </c>
      <c r="E253" s="18" t="s">
        <v>54</v>
      </c>
      <c r="F253" s="19"/>
      <c r="G253" s="20">
        <f>SUM(G254:G256)</f>
        <v>4004.9000000000005</v>
      </c>
    </row>
    <row r="254" spans="1:7" s="2" customFormat="1" ht="36.6" customHeight="1" x14ac:dyDescent="0.25">
      <c r="A254" s="38" t="s">
        <v>19</v>
      </c>
      <c r="B254" s="18" t="s">
        <v>4</v>
      </c>
      <c r="C254" s="18" t="s">
        <v>81</v>
      </c>
      <c r="D254" s="18" t="s">
        <v>0</v>
      </c>
      <c r="E254" s="18" t="s">
        <v>54</v>
      </c>
      <c r="F254" s="19" t="s">
        <v>20</v>
      </c>
      <c r="G254" s="20">
        <f>3793.8+37.9-98.1</f>
        <v>3733.6000000000004</v>
      </c>
    </row>
    <row r="255" spans="1:7" s="2" customFormat="1" ht="38.4" customHeight="1" x14ac:dyDescent="0.25">
      <c r="A255" s="38" t="s">
        <v>153</v>
      </c>
      <c r="B255" s="18" t="s">
        <v>4</v>
      </c>
      <c r="C255" s="18" t="s">
        <v>81</v>
      </c>
      <c r="D255" s="18" t="s">
        <v>0</v>
      </c>
      <c r="E255" s="18" t="s">
        <v>54</v>
      </c>
      <c r="F255" s="19" t="s">
        <v>22</v>
      </c>
      <c r="G255" s="20">
        <f>278.5-7.2</f>
        <v>271.3</v>
      </c>
    </row>
    <row r="256" spans="1:7" s="2" customFormat="1" ht="19.2" customHeight="1" x14ac:dyDescent="0.25">
      <c r="A256" s="38" t="s">
        <v>24</v>
      </c>
      <c r="B256" s="18" t="s">
        <v>4</v>
      </c>
      <c r="C256" s="18" t="s">
        <v>81</v>
      </c>
      <c r="D256" s="18" t="s">
        <v>0</v>
      </c>
      <c r="E256" s="18" t="s">
        <v>54</v>
      </c>
      <c r="F256" s="19" t="s">
        <v>25</v>
      </c>
      <c r="G256" s="20">
        <f>122.3-122.3</f>
        <v>0</v>
      </c>
    </row>
    <row r="257" spans="1:7" s="2" customFormat="1" ht="25.2" customHeight="1" x14ac:dyDescent="0.25">
      <c r="A257" s="38" t="s">
        <v>374</v>
      </c>
      <c r="B257" s="18" t="s">
        <v>4</v>
      </c>
      <c r="C257" s="18" t="s">
        <v>81</v>
      </c>
      <c r="D257" s="18" t="s">
        <v>0</v>
      </c>
      <c r="E257" s="18" t="s">
        <v>375</v>
      </c>
      <c r="F257" s="19"/>
      <c r="G257" s="20">
        <f>SUM(G258)</f>
        <v>20.100000000000001</v>
      </c>
    </row>
    <row r="258" spans="1:7" s="2" customFormat="1" ht="31.2" x14ac:dyDescent="0.25">
      <c r="A258" s="38" t="s">
        <v>153</v>
      </c>
      <c r="B258" s="18" t="s">
        <v>4</v>
      </c>
      <c r="C258" s="18" t="s">
        <v>81</v>
      </c>
      <c r="D258" s="18" t="s">
        <v>0</v>
      </c>
      <c r="E258" s="18" t="s">
        <v>375</v>
      </c>
      <c r="F258" s="19" t="s">
        <v>22</v>
      </c>
      <c r="G258" s="20">
        <v>20.100000000000001</v>
      </c>
    </row>
    <row r="259" spans="1:7" s="2" customFormat="1" x14ac:dyDescent="0.25">
      <c r="A259" s="38" t="s">
        <v>380</v>
      </c>
      <c r="B259" s="18" t="s">
        <v>4</v>
      </c>
      <c r="C259" s="18" t="s">
        <v>81</v>
      </c>
      <c r="D259" s="18" t="s">
        <v>0</v>
      </c>
      <c r="E259" s="18" t="s">
        <v>381</v>
      </c>
      <c r="F259" s="19"/>
      <c r="G259" s="20">
        <f>SUM(G260)</f>
        <v>9</v>
      </c>
    </row>
    <row r="260" spans="1:7" s="2" customFormat="1" ht="31.2" x14ac:dyDescent="0.25">
      <c r="A260" s="38" t="s">
        <v>153</v>
      </c>
      <c r="B260" s="18" t="s">
        <v>4</v>
      </c>
      <c r="C260" s="18" t="s">
        <v>81</v>
      </c>
      <c r="D260" s="18" t="s">
        <v>0</v>
      </c>
      <c r="E260" s="18" t="s">
        <v>381</v>
      </c>
      <c r="F260" s="19" t="s">
        <v>22</v>
      </c>
      <c r="G260" s="20">
        <v>9</v>
      </c>
    </row>
    <row r="261" spans="1:7" s="2" customFormat="1" x14ac:dyDescent="0.25">
      <c r="A261" s="37" t="s">
        <v>465</v>
      </c>
      <c r="B261" s="18" t="s">
        <v>4</v>
      </c>
      <c r="C261" s="18" t="s">
        <v>81</v>
      </c>
      <c r="D261" s="18" t="s">
        <v>1</v>
      </c>
      <c r="E261" s="18"/>
      <c r="F261" s="19"/>
      <c r="G261" s="20">
        <f>SUM(G262)</f>
        <v>0</v>
      </c>
    </row>
    <row r="262" spans="1:7" s="2" customFormat="1" x14ac:dyDescent="0.25">
      <c r="A262" s="37" t="s">
        <v>460</v>
      </c>
      <c r="B262" s="18" t="s">
        <v>4</v>
      </c>
      <c r="C262" s="18" t="s">
        <v>81</v>
      </c>
      <c r="D262" s="18" t="s">
        <v>1</v>
      </c>
      <c r="E262" s="18" t="s">
        <v>461</v>
      </c>
      <c r="F262" s="19"/>
      <c r="G262" s="20">
        <f>SUM(G263)</f>
        <v>0</v>
      </c>
    </row>
    <row r="263" spans="1:7" s="2" customFormat="1" ht="37.950000000000003" customHeight="1" x14ac:dyDescent="0.25">
      <c r="A263" s="38" t="s">
        <v>148</v>
      </c>
      <c r="B263" s="18" t="s">
        <v>4</v>
      </c>
      <c r="C263" s="18" t="s">
        <v>81</v>
      </c>
      <c r="D263" s="18" t="s">
        <v>1</v>
      </c>
      <c r="E263" s="18" t="s">
        <v>461</v>
      </c>
      <c r="F263" s="19" t="s">
        <v>149</v>
      </c>
      <c r="G263" s="20">
        <f>465-465</f>
        <v>0</v>
      </c>
    </row>
    <row r="264" spans="1:7" s="2" customFormat="1" ht="19.5" customHeight="1" x14ac:dyDescent="0.25">
      <c r="A264" s="37" t="s">
        <v>224</v>
      </c>
      <c r="B264" s="18" t="s">
        <v>4</v>
      </c>
      <c r="C264" s="18" t="s">
        <v>129</v>
      </c>
      <c r="D264" s="18"/>
      <c r="E264" s="18"/>
      <c r="F264" s="19"/>
      <c r="G264" s="20">
        <f>SUM(G265)</f>
        <v>160697.9</v>
      </c>
    </row>
    <row r="265" spans="1:7" s="2" customFormat="1" ht="34.950000000000003" customHeight="1" x14ac:dyDescent="0.25">
      <c r="A265" s="43" t="s">
        <v>130</v>
      </c>
      <c r="B265" s="18" t="s">
        <v>4</v>
      </c>
      <c r="C265" s="18" t="s">
        <v>129</v>
      </c>
      <c r="D265" s="18" t="s">
        <v>0</v>
      </c>
      <c r="E265" s="18"/>
      <c r="F265" s="19"/>
      <c r="G265" s="20">
        <f>SUM(G266+G274+G282+G278+G270+G286+G288+G268+G280+G284+G276+G290)</f>
        <v>160697.9</v>
      </c>
    </row>
    <row r="266" spans="1:7" s="2" customFormat="1" ht="50.4" customHeight="1" x14ac:dyDescent="0.25">
      <c r="A266" s="40" t="s">
        <v>144</v>
      </c>
      <c r="B266" s="18" t="s">
        <v>4</v>
      </c>
      <c r="C266" s="18" t="s">
        <v>129</v>
      </c>
      <c r="D266" s="18" t="s">
        <v>0</v>
      </c>
      <c r="E266" s="18" t="s">
        <v>69</v>
      </c>
      <c r="F266" s="19"/>
      <c r="G266" s="20">
        <f>SUM(G267:G267)</f>
        <v>131787.70000000001</v>
      </c>
    </row>
    <row r="267" spans="1:7" s="2" customFormat="1" ht="31.2" x14ac:dyDescent="0.25">
      <c r="A267" s="38" t="s">
        <v>160</v>
      </c>
      <c r="B267" s="18" t="s">
        <v>4</v>
      </c>
      <c r="C267" s="18" t="s">
        <v>129</v>
      </c>
      <c r="D267" s="18" t="s">
        <v>0</v>
      </c>
      <c r="E267" s="18" t="s">
        <v>69</v>
      </c>
      <c r="F267" s="19" t="s">
        <v>149</v>
      </c>
      <c r="G267" s="20">
        <f>133228.1-749.4-187.3+866.4-1370.1</f>
        <v>131787.70000000001</v>
      </c>
    </row>
    <row r="268" spans="1:7" s="2" customFormat="1" x14ac:dyDescent="0.25">
      <c r="A268" s="38" t="s">
        <v>460</v>
      </c>
      <c r="B268" s="18" t="s">
        <v>4</v>
      </c>
      <c r="C268" s="18" t="s">
        <v>129</v>
      </c>
      <c r="D268" s="18" t="s">
        <v>0</v>
      </c>
      <c r="E268" s="18" t="s">
        <v>461</v>
      </c>
      <c r="F268" s="19"/>
      <c r="G268" s="20">
        <f>SUM(G269)</f>
        <v>0</v>
      </c>
    </row>
    <row r="269" spans="1:7" s="2" customFormat="1" ht="31.2" x14ac:dyDescent="0.25">
      <c r="A269" s="38" t="s">
        <v>160</v>
      </c>
      <c r="B269" s="18" t="s">
        <v>4</v>
      </c>
      <c r="C269" s="18" t="s">
        <v>129</v>
      </c>
      <c r="D269" s="18" t="s">
        <v>0</v>
      </c>
      <c r="E269" s="18" t="s">
        <v>461</v>
      </c>
      <c r="F269" s="19" t="s">
        <v>149</v>
      </c>
      <c r="G269" s="20"/>
    </row>
    <row r="270" spans="1:7" s="2" customFormat="1" ht="46.8" x14ac:dyDescent="0.25">
      <c r="A270" s="37" t="s">
        <v>225</v>
      </c>
      <c r="B270" s="18" t="s">
        <v>4</v>
      </c>
      <c r="C270" s="18" t="s">
        <v>129</v>
      </c>
      <c r="D270" s="18" t="s">
        <v>0</v>
      </c>
      <c r="E270" s="18" t="s">
        <v>177</v>
      </c>
      <c r="F270" s="19"/>
      <c r="G270" s="20">
        <f>G271+G273+G272</f>
        <v>3085.5</v>
      </c>
    </row>
    <row r="271" spans="1:7" s="2" customFormat="1" ht="31.2" x14ac:dyDescent="0.25">
      <c r="A271" s="38" t="s">
        <v>153</v>
      </c>
      <c r="B271" s="18" t="s">
        <v>4</v>
      </c>
      <c r="C271" s="18" t="s">
        <v>129</v>
      </c>
      <c r="D271" s="18" t="s">
        <v>0</v>
      </c>
      <c r="E271" s="18" t="s">
        <v>177</v>
      </c>
      <c r="F271" s="19" t="s">
        <v>22</v>
      </c>
      <c r="G271" s="20">
        <v>250</v>
      </c>
    </row>
    <row r="272" spans="1:7" s="2" customFormat="1" x14ac:dyDescent="0.25">
      <c r="A272" s="38" t="s">
        <v>155</v>
      </c>
      <c r="B272" s="18" t="s">
        <v>4</v>
      </c>
      <c r="C272" s="18" t="s">
        <v>129</v>
      </c>
      <c r="D272" s="18" t="s">
        <v>0</v>
      </c>
      <c r="E272" s="18" t="s">
        <v>177</v>
      </c>
      <c r="F272" s="19" t="s">
        <v>147</v>
      </c>
      <c r="G272" s="20">
        <v>748</v>
      </c>
    </row>
    <row r="273" spans="1:7" s="2" customFormat="1" ht="32.4" customHeight="1" x14ac:dyDescent="0.25">
      <c r="A273" s="39" t="s">
        <v>160</v>
      </c>
      <c r="B273" s="18" t="s">
        <v>4</v>
      </c>
      <c r="C273" s="18" t="s">
        <v>129</v>
      </c>
      <c r="D273" s="18" t="s">
        <v>0</v>
      </c>
      <c r="E273" s="18" t="s">
        <v>177</v>
      </c>
      <c r="F273" s="19" t="s">
        <v>149</v>
      </c>
      <c r="G273" s="20">
        <f>2638.1-998+90+330.8+26.6</f>
        <v>2087.5</v>
      </c>
    </row>
    <row r="274" spans="1:7" s="2" customFormat="1" ht="33.6" customHeight="1" x14ac:dyDescent="0.25">
      <c r="A274" s="37" t="s">
        <v>226</v>
      </c>
      <c r="B274" s="18" t="s">
        <v>4</v>
      </c>
      <c r="C274" s="18" t="s">
        <v>129</v>
      </c>
      <c r="D274" s="18" t="s">
        <v>0</v>
      </c>
      <c r="E274" s="18" t="s">
        <v>131</v>
      </c>
      <c r="F274" s="19"/>
      <c r="G274" s="20">
        <f>SUM(G275:G275)</f>
        <v>0</v>
      </c>
    </row>
    <row r="275" spans="1:7" s="2" customFormat="1" ht="31.5" customHeight="1" x14ac:dyDescent="0.25">
      <c r="A275" s="39" t="s">
        <v>160</v>
      </c>
      <c r="B275" s="18" t="s">
        <v>4</v>
      </c>
      <c r="C275" s="18" t="s">
        <v>129</v>
      </c>
      <c r="D275" s="18" t="s">
        <v>0</v>
      </c>
      <c r="E275" s="18" t="s">
        <v>131</v>
      </c>
      <c r="F275" s="19" t="s">
        <v>149</v>
      </c>
      <c r="G275" s="20"/>
    </row>
    <row r="276" spans="1:7" s="2" customFormat="1" ht="16.95" customHeight="1" x14ac:dyDescent="0.25">
      <c r="A276" s="39" t="s">
        <v>487</v>
      </c>
      <c r="B276" s="18" t="s">
        <v>4</v>
      </c>
      <c r="C276" s="18" t="s">
        <v>129</v>
      </c>
      <c r="D276" s="18" t="s">
        <v>0</v>
      </c>
      <c r="E276" s="18" t="s">
        <v>486</v>
      </c>
      <c r="F276" s="19"/>
      <c r="G276" s="20">
        <f>G277</f>
        <v>2663.9</v>
      </c>
    </row>
    <row r="277" spans="1:7" s="2" customFormat="1" ht="31.5" customHeight="1" x14ac:dyDescent="0.25">
      <c r="A277" s="39" t="s">
        <v>160</v>
      </c>
      <c r="B277" s="18" t="s">
        <v>4</v>
      </c>
      <c r="C277" s="18" t="s">
        <v>129</v>
      </c>
      <c r="D277" s="18" t="s">
        <v>0</v>
      </c>
      <c r="E277" s="18" t="s">
        <v>486</v>
      </c>
      <c r="F277" s="19" t="s">
        <v>149</v>
      </c>
      <c r="G277" s="20">
        <f>1967.3+696.6</f>
        <v>2663.9</v>
      </c>
    </row>
    <row r="278" spans="1:7" s="2" customFormat="1" ht="18.600000000000001" customHeight="1" x14ac:dyDescent="0.25">
      <c r="A278" s="37" t="s">
        <v>196</v>
      </c>
      <c r="B278" s="18" t="s">
        <v>4</v>
      </c>
      <c r="C278" s="18" t="s">
        <v>129</v>
      </c>
      <c r="D278" s="18" t="s">
        <v>0</v>
      </c>
      <c r="E278" s="18" t="s">
        <v>175</v>
      </c>
      <c r="F278" s="19"/>
      <c r="G278" s="20">
        <f>G279</f>
        <v>0</v>
      </c>
    </row>
    <row r="279" spans="1:7" s="2" customFormat="1" ht="31.5" customHeight="1" x14ac:dyDescent="0.25">
      <c r="A279" s="39" t="s">
        <v>160</v>
      </c>
      <c r="B279" s="18" t="s">
        <v>4</v>
      </c>
      <c r="C279" s="18" t="s">
        <v>129</v>
      </c>
      <c r="D279" s="18" t="s">
        <v>0</v>
      </c>
      <c r="E279" s="18" t="s">
        <v>175</v>
      </c>
      <c r="F279" s="19" t="s">
        <v>149</v>
      </c>
      <c r="G279" s="20"/>
    </row>
    <row r="280" spans="1:7" s="2" customFormat="1" ht="47.4" customHeight="1" x14ac:dyDescent="0.25">
      <c r="A280" s="41" t="s">
        <v>193</v>
      </c>
      <c r="B280" s="18" t="s">
        <v>4</v>
      </c>
      <c r="C280" s="18" t="s">
        <v>129</v>
      </c>
      <c r="D280" s="18" t="s">
        <v>0</v>
      </c>
      <c r="E280" s="18" t="s">
        <v>192</v>
      </c>
      <c r="F280" s="19"/>
      <c r="G280" s="20">
        <f>SUM(G281)</f>
        <v>12096.8</v>
      </c>
    </row>
    <row r="281" spans="1:7" s="2" customFormat="1" ht="31.2" x14ac:dyDescent="0.25">
      <c r="A281" s="39" t="s">
        <v>160</v>
      </c>
      <c r="B281" s="18" t="s">
        <v>4</v>
      </c>
      <c r="C281" s="18" t="s">
        <v>129</v>
      </c>
      <c r="D281" s="18" t="s">
        <v>0</v>
      </c>
      <c r="E281" s="18" t="s">
        <v>192</v>
      </c>
      <c r="F281" s="19" t="s">
        <v>149</v>
      </c>
      <c r="G281" s="20">
        <f>6098+5998.8</f>
        <v>12096.8</v>
      </c>
    </row>
    <row r="282" spans="1:7" s="2" customFormat="1" ht="93.6" x14ac:dyDescent="0.25">
      <c r="A282" s="44" t="s">
        <v>351</v>
      </c>
      <c r="B282" s="18" t="s">
        <v>4</v>
      </c>
      <c r="C282" s="18" t="s">
        <v>129</v>
      </c>
      <c r="D282" s="18" t="s">
        <v>0</v>
      </c>
      <c r="E282" s="18" t="s">
        <v>132</v>
      </c>
      <c r="F282" s="19"/>
      <c r="G282" s="20">
        <f>SUM(G283:G283)</f>
        <v>437.5</v>
      </c>
    </row>
    <row r="283" spans="1:7" s="2" customFormat="1" ht="31.2" x14ac:dyDescent="0.25">
      <c r="A283" s="38" t="s">
        <v>154</v>
      </c>
      <c r="B283" s="18" t="s">
        <v>4</v>
      </c>
      <c r="C283" s="18" t="s">
        <v>129</v>
      </c>
      <c r="D283" s="18" t="s">
        <v>0</v>
      </c>
      <c r="E283" s="18" t="s">
        <v>132</v>
      </c>
      <c r="F283" s="19" t="s">
        <v>149</v>
      </c>
      <c r="G283" s="20">
        <f>625-187.5</f>
        <v>437.5</v>
      </c>
    </row>
    <row r="284" spans="1:7" s="2" customFormat="1" ht="31.2" x14ac:dyDescent="0.25">
      <c r="A284" s="38" t="s">
        <v>304</v>
      </c>
      <c r="B284" s="18" t="s">
        <v>4</v>
      </c>
      <c r="C284" s="18" t="s">
        <v>129</v>
      </c>
      <c r="D284" s="18" t="s">
        <v>0</v>
      </c>
      <c r="E284" s="18" t="s">
        <v>416</v>
      </c>
      <c r="F284" s="19"/>
      <c r="G284" s="20">
        <f>G285</f>
        <v>350</v>
      </c>
    </row>
    <row r="285" spans="1:7" s="2" customFormat="1" ht="34.950000000000003" customHeight="1" x14ac:dyDescent="0.25">
      <c r="A285" s="38" t="s">
        <v>148</v>
      </c>
      <c r="B285" s="18" t="s">
        <v>4</v>
      </c>
      <c r="C285" s="18" t="s">
        <v>129</v>
      </c>
      <c r="D285" s="18" t="s">
        <v>0</v>
      </c>
      <c r="E285" s="18" t="s">
        <v>416</v>
      </c>
      <c r="F285" s="19" t="s">
        <v>149</v>
      </c>
      <c r="G285" s="20">
        <v>350</v>
      </c>
    </row>
    <row r="286" spans="1:7" s="2" customFormat="1" ht="31.2" x14ac:dyDescent="0.25">
      <c r="A286" s="38" t="s">
        <v>319</v>
      </c>
      <c r="B286" s="18" t="s">
        <v>4</v>
      </c>
      <c r="C286" s="18" t="s">
        <v>129</v>
      </c>
      <c r="D286" s="18" t="s">
        <v>0</v>
      </c>
      <c r="E286" s="18" t="s">
        <v>315</v>
      </c>
      <c r="F286" s="19"/>
      <c r="G286" s="20">
        <f>G287</f>
        <v>1458.6</v>
      </c>
    </row>
    <row r="287" spans="1:7" s="2" customFormat="1" ht="31.2" x14ac:dyDescent="0.25">
      <c r="A287" s="38" t="s">
        <v>154</v>
      </c>
      <c r="B287" s="18" t="s">
        <v>4</v>
      </c>
      <c r="C287" s="18" t="s">
        <v>129</v>
      </c>
      <c r="D287" s="18" t="s">
        <v>0</v>
      </c>
      <c r="E287" s="18" t="s">
        <v>315</v>
      </c>
      <c r="F287" s="19" t="s">
        <v>149</v>
      </c>
      <c r="G287" s="20">
        <f>1372+75.3+11.3</f>
        <v>1458.6</v>
      </c>
    </row>
    <row r="288" spans="1:7" s="2" customFormat="1" ht="31.2" x14ac:dyDescent="0.25">
      <c r="A288" s="38" t="s">
        <v>413</v>
      </c>
      <c r="B288" s="18" t="s">
        <v>4</v>
      </c>
      <c r="C288" s="18" t="s">
        <v>129</v>
      </c>
      <c r="D288" s="18" t="s">
        <v>0</v>
      </c>
      <c r="E288" s="18" t="s">
        <v>412</v>
      </c>
      <c r="F288" s="19"/>
      <c r="G288" s="20">
        <f>G289</f>
        <v>8744</v>
      </c>
    </row>
    <row r="289" spans="1:7" s="2" customFormat="1" ht="31.2" x14ac:dyDescent="0.25">
      <c r="A289" s="38" t="s">
        <v>154</v>
      </c>
      <c r="B289" s="18" t="s">
        <v>4</v>
      </c>
      <c r="C289" s="18" t="s">
        <v>129</v>
      </c>
      <c r="D289" s="18" t="s">
        <v>0</v>
      </c>
      <c r="E289" s="18" t="s">
        <v>412</v>
      </c>
      <c r="F289" s="19" t="s">
        <v>149</v>
      </c>
      <c r="G289" s="20">
        <f>5120+295.3-74+3402.6+0.1</f>
        <v>8744</v>
      </c>
    </row>
    <row r="290" spans="1:7" s="2" customFormat="1" ht="31.2" x14ac:dyDescent="0.25">
      <c r="A290" s="38" t="s">
        <v>510</v>
      </c>
      <c r="B290" s="18" t="s">
        <v>4</v>
      </c>
      <c r="C290" s="18" t="s">
        <v>129</v>
      </c>
      <c r="D290" s="18" t="s">
        <v>0</v>
      </c>
      <c r="E290" s="18" t="s">
        <v>509</v>
      </c>
      <c r="F290" s="19"/>
      <c r="G290" s="20">
        <f>G291</f>
        <v>73.900000000000006</v>
      </c>
    </row>
    <row r="291" spans="1:7" s="2" customFormat="1" ht="31.2" x14ac:dyDescent="0.25">
      <c r="A291" s="38" t="s">
        <v>154</v>
      </c>
      <c r="B291" s="18" t="s">
        <v>4</v>
      </c>
      <c r="C291" s="18" t="s">
        <v>129</v>
      </c>
      <c r="D291" s="18" t="s">
        <v>0</v>
      </c>
      <c r="E291" s="18" t="s">
        <v>509</v>
      </c>
      <c r="F291" s="19" t="s">
        <v>149</v>
      </c>
      <c r="G291" s="20">
        <f>74-0.1</f>
        <v>73.900000000000006</v>
      </c>
    </row>
    <row r="292" spans="1:7" s="2" customFormat="1" x14ac:dyDescent="0.25">
      <c r="A292" s="37" t="s">
        <v>228</v>
      </c>
      <c r="B292" s="18" t="s">
        <v>4</v>
      </c>
      <c r="C292" s="18" t="s">
        <v>139</v>
      </c>
      <c r="D292" s="18"/>
      <c r="E292" s="18"/>
      <c r="F292" s="19"/>
      <c r="G292" s="20">
        <f>G293</f>
        <v>1654.3000000000002</v>
      </c>
    </row>
    <row r="293" spans="1:7" s="2" customFormat="1" ht="46.8" x14ac:dyDescent="0.25">
      <c r="A293" s="37" t="s">
        <v>179</v>
      </c>
      <c r="B293" s="18" t="s">
        <v>4</v>
      </c>
      <c r="C293" s="18" t="s">
        <v>139</v>
      </c>
      <c r="D293" s="18" t="s">
        <v>0</v>
      </c>
      <c r="E293" s="18"/>
      <c r="F293" s="19"/>
      <c r="G293" s="20">
        <f>G294</f>
        <v>1654.3000000000002</v>
      </c>
    </row>
    <row r="294" spans="1:7" s="2" customFormat="1" ht="46.8" x14ac:dyDescent="0.25">
      <c r="A294" s="37" t="s">
        <v>267</v>
      </c>
      <c r="B294" s="18" t="s">
        <v>4</v>
      </c>
      <c r="C294" s="18" t="s">
        <v>139</v>
      </c>
      <c r="D294" s="18" t="s">
        <v>0</v>
      </c>
      <c r="E294" s="18" t="s">
        <v>178</v>
      </c>
      <c r="F294" s="19"/>
      <c r="G294" s="20">
        <f>G295+G296+G297+G298</f>
        <v>1654.3000000000002</v>
      </c>
    </row>
    <row r="295" spans="1:7" s="2" customFormat="1" ht="46.8" x14ac:dyDescent="0.25">
      <c r="A295" s="37" t="s">
        <v>152</v>
      </c>
      <c r="B295" s="18" t="s">
        <v>4</v>
      </c>
      <c r="C295" s="18" t="s">
        <v>139</v>
      </c>
      <c r="D295" s="18" t="s">
        <v>0</v>
      </c>
      <c r="E295" s="18" t="s">
        <v>178</v>
      </c>
      <c r="F295" s="19" t="s">
        <v>20</v>
      </c>
      <c r="G295" s="20">
        <f>297.5+20-317.5</f>
        <v>0</v>
      </c>
    </row>
    <row r="296" spans="1:7" s="2" customFormat="1" ht="35.4" customHeight="1" x14ac:dyDescent="0.25">
      <c r="A296" s="38" t="s">
        <v>153</v>
      </c>
      <c r="B296" s="18" t="s">
        <v>4</v>
      </c>
      <c r="C296" s="18" t="s">
        <v>139</v>
      </c>
      <c r="D296" s="18" t="s">
        <v>0</v>
      </c>
      <c r="E296" s="18" t="s">
        <v>178</v>
      </c>
      <c r="F296" s="19" t="s">
        <v>22</v>
      </c>
      <c r="G296" s="20">
        <f>753.9-97.5+394.8+365.1+140.5</f>
        <v>1556.8000000000002</v>
      </c>
    </row>
    <row r="297" spans="1:7" s="2" customFormat="1" ht="22.2" customHeight="1" x14ac:dyDescent="0.25">
      <c r="A297" s="38" t="s">
        <v>155</v>
      </c>
      <c r="B297" s="18" t="s">
        <v>4</v>
      </c>
      <c r="C297" s="18" t="s">
        <v>139</v>
      </c>
      <c r="D297" s="18" t="s">
        <v>0</v>
      </c>
      <c r="E297" s="18" t="s">
        <v>178</v>
      </c>
      <c r="F297" s="19" t="s">
        <v>147</v>
      </c>
      <c r="G297" s="20">
        <v>50</v>
      </c>
    </row>
    <row r="298" spans="1:7" s="2" customFormat="1" ht="31.95" customHeight="1" x14ac:dyDescent="0.25">
      <c r="A298" s="38" t="s">
        <v>160</v>
      </c>
      <c r="B298" s="18" t="s">
        <v>4</v>
      </c>
      <c r="C298" s="18" t="s">
        <v>139</v>
      </c>
      <c r="D298" s="18" t="s">
        <v>0</v>
      </c>
      <c r="E298" s="18" t="s">
        <v>178</v>
      </c>
      <c r="F298" s="19" t="s">
        <v>149</v>
      </c>
      <c r="G298" s="20">
        <f>47.5+394.8-394.8</f>
        <v>47.5</v>
      </c>
    </row>
    <row r="299" spans="1:7" s="2" customFormat="1" ht="31.2" x14ac:dyDescent="0.25">
      <c r="A299" s="37" t="s">
        <v>229</v>
      </c>
      <c r="B299" s="18" t="s">
        <v>11</v>
      </c>
      <c r="C299" s="18"/>
      <c r="D299" s="18"/>
      <c r="E299" s="18"/>
      <c r="F299" s="18"/>
      <c r="G299" s="20">
        <f>SUM(G300)</f>
        <v>28734</v>
      </c>
    </row>
    <row r="300" spans="1:7" s="2" customFormat="1" ht="31.95" customHeight="1" x14ac:dyDescent="0.25">
      <c r="A300" s="45" t="s">
        <v>230</v>
      </c>
      <c r="B300" s="18" t="s">
        <v>11</v>
      </c>
      <c r="C300" s="18" t="s">
        <v>81</v>
      </c>
      <c r="D300" s="18"/>
      <c r="E300" s="18"/>
      <c r="F300" s="18"/>
      <c r="G300" s="20">
        <f>SUM(G301+G314+G325+G328)</f>
        <v>28734</v>
      </c>
    </row>
    <row r="301" spans="1:7" s="2" customFormat="1" ht="40.950000000000003" customHeight="1" x14ac:dyDescent="0.25">
      <c r="A301" s="37" t="s">
        <v>57</v>
      </c>
      <c r="B301" s="18" t="s">
        <v>11</v>
      </c>
      <c r="C301" s="18" t="s">
        <v>81</v>
      </c>
      <c r="D301" s="18" t="s">
        <v>0</v>
      </c>
      <c r="E301" s="18"/>
      <c r="F301" s="19"/>
      <c r="G301" s="20">
        <f>SUM(G304+G308+G311+G302+G306)</f>
        <v>4099.6000000000004</v>
      </c>
    </row>
    <row r="302" spans="1:7" s="2" customFormat="1" ht="31.2" customHeight="1" x14ac:dyDescent="0.25">
      <c r="A302" s="37" t="s">
        <v>500</v>
      </c>
      <c r="B302" s="18" t="s">
        <v>11</v>
      </c>
      <c r="C302" s="18" t="s">
        <v>81</v>
      </c>
      <c r="D302" s="18" t="s">
        <v>0</v>
      </c>
      <c r="E302" s="18" t="s">
        <v>449</v>
      </c>
      <c r="F302" s="19"/>
      <c r="G302" s="20">
        <f>G303</f>
        <v>0</v>
      </c>
    </row>
    <row r="303" spans="1:7" s="2" customFormat="1" ht="36.6" customHeight="1" x14ac:dyDescent="0.25">
      <c r="A303" s="38" t="s">
        <v>153</v>
      </c>
      <c r="B303" s="18" t="s">
        <v>11</v>
      </c>
      <c r="C303" s="18" t="s">
        <v>81</v>
      </c>
      <c r="D303" s="18" t="s">
        <v>0</v>
      </c>
      <c r="E303" s="18" t="s">
        <v>449</v>
      </c>
      <c r="F303" s="19" t="s">
        <v>450</v>
      </c>
      <c r="G303" s="20"/>
    </row>
    <row r="304" spans="1:7" s="2" customFormat="1" ht="31.2" customHeight="1" x14ac:dyDescent="0.25">
      <c r="A304" s="37" t="s">
        <v>447</v>
      </c>
      <c r="B304" s="18" t="s">
        <v>11</v>
      </c>
      <c r="C304" s="18" t="s">
        <v>81</v>
      </c>
      <c r="D304" s="18" t="s">
        <v>0</v>
      </c>
      <c r="E304" s="18" t="s">
        <v>448</v>
      </c>
      <c r="F304" s="19"/>
      <c r="G304" s="20">
        <f>G305</f>
        <v>1160.2</v>
      </c>
    </row>
    <row r="305" spans="1:7" s="2" customFormat="1" ht="31.2" customHeight="1" x14ac:dyDescent="0.25">
      <c r="A305" s="38" t="s">
        <v>160</v>
      </c>
      <c r="B305" s="18" t="s">
        <v>11</v>
      </c>
      <c r="C305" s="18" t="s">
        <v>81</v>
      </c>
      <c r="D305" s="18" t="s">
        <v>0</v>
      </c>
      <c r="E305" s="18" t="s">
        <v>448</v>
      </c>
      <c r="F305" s="19" t="s">
        <v>149</v>
      </c>
      <c r="G305" s="20">
        <f>416.8+187.3+350+117.6+88.7-0.2</f>
        <v>1160.2</v>
      </c>
    </row>
    <row r="306" spans="1:7" s="2" customFormat="1" ht="30.6" customHeight="1" x14ac:dyDescent="0.25">
      <c r="A306" s="38" t="s">
        <v>485</v>
      </c>
      <c r="B306" s="18" t="s">
        <v>11</v>
      </c>
      <c r="C306" s="18" t="s">
        <v>81</v>
      </c>
      <c r="D306" s="18" t="s">
        <v>0</v>
      </c>
      <c r="E306" s="18" t="s">
        <v>484</v>
      </c>
      <c r="F306" s="19"/>
      <c r="G306" s="20">
        <f>G307</f>
        <v>750</v>
      </c>
    </row>
    <row r="307" spans="1:7" s="2" customFormat="1" ht="31.2" customHeight="1" x14ac:dyDescent="0.25">
      <c r="A307" s="38" t="s">
        <v>160</v>
      </c>
      <c r="B307" s="18" t="s">
        <v>11</v>
      </c>
      <c r="C307" s="18" t="s">
        <v>81</v>
      </c>
      <c r="D307" s="18" t="s">
        <v>0</v>
      </c>
      <c r="E307" s="18" t="s">
        <v>484</v>
      </c>
      <c r="F307" s="19" t="s">
        <v>149</v>
      </c>
      <c r="G307" s="20">
        <v>750</v>
      </c>
    </row>
    <row r="308" spans="1:7" s="2" customFormat="1" ht="50.4" customHeight="1" x14ac:dyDescent="0.25">
      <c r="A308" s="38" t="s">
        <v>273</v>
      </c>
      <c r="B308" s="18" t="s">
        <v>11</v>
      </c>
      <c r="C308" s="18" t="s">
        <v>81</v>
      </c>
      <c r="D308" s="18" t="s">
        <v>0</v>
      </c>
      <c r="E308" s="18" t="s">
        <v>272</v>
      </c>
      <c r="F308" s="19"/>
      <c r="G308" s="20">
        <f>SUM(G309:G310)</f>
        <v>1459.6</v>
      </c>
    </row>
    <row r="309" spans="1:7" s="2" customFormat="1" ht="52.2" customHeight="1" x14ac:dyDescent="0.25">
      <c r="A309" s="38" t="s">
        <v>152</v>
      </c>
      <c r="B309" s="18" t="s">
        <v>11</v>
      </c>
      <c r="C309" s="18" t="s">
        <v>81</v>
      </c>
      <c r="D309" s="18" t="s">
        <v>0</v>
      </c>
      <c r="E309" s="18" t="s">
        <v>272</v>
      </c>
      <c r="F309" s="19" t="s">
        <v>20</v>
      </c>
      <c r="G309" s="20">
        <f>1297.6-232.1</f>
        <v>1065.5</v>
      </c>
    </row>
    <row r="310" spans="1:7" s="2" customFormat="1" ht="33" customHeight="1" x14ac:dyDescent="0.25">
      <c r="A310" s="38" t="s">
        <v>153</v>
      </c>
      <c r="B310" s="18" t="s">
        <v>11</v>
      </c>
      <c r="C310" s="18" t="s">
        <v>81</v>
      </c>
      <c r="D310" s="18" t="s">
        <v>0</v>
      </c>
      <c r="E310" s="18" t="s">
        <v>272</v>
      </c>
      <c r="F310" s="19" t="s">
        <v>22</v>
      </c>
      <c r="G310" s="20">
        <f>162+232.1</f>
        <v>394.1</v>
      </c>
    </row>
    <row r="311" spans="1:7" s="2" customFormat="1" ht="99" customHeight="1" x14ac:dyDescent="0.25">
      <c r="A311" s="46" t="s">
        <v>285</v>
      </c>
      <c r="B311" s="18" t="s">
        <v>11</v>
      </c>
      <c r="C311" s="18" t="s">
        <v>81</v>
      </c>
      <c r="D311" s="18" t="s">
        <v>0</v>
      </c>
      <c r="E311" s="18" t="s">
        <v>58</v>
      </c>
      <c r="F311" s="19"/>
      <c r="G311" s="20">
        <f>SUM(G312:G313)</f>
        <v>729.8</v>
      </c>
    </row>
    <row r="312" spans="1:7" s="2" customFormat="1" ht="50.4" customHeight="1" x14ac:dyDescent="0.25">
      <c r="A312" s="38" t="s">
        <v>151</v>
      </c>
      <c r="B312" s="18" t="s">
        <v>11</v>
      </c>
      <c r="C312" s="18" t="s">
        <v>81</v>
      </c>
      <c r="D312" s="18" t="s">
        <v>0</v>
      </c>
      <c r="E312" s="18" t="s">
        <v>58</v>
      </c>
      <c r="F312" s="19" t="s">
        <v>20</v>
      </c>
      <c r="G312" s="20">
        <f>648.8+64.4</f>
        <v>713.19999999999993</v>
      </c>
    </row>
    <row r="313" spans="1:7" s="2" customFormat="1" ht="31.2" x14ac:dyDescent="0.25">
      <c r="A313" s="38" t="s">
        <v>153</v>
      </c>
      <c r="B313" s="18" t="s">
        <v>11</v>
      </c>
      <c r="C313" s="18" t="s">
        <v>81</v>
      </c>
      <c r="D313" s="18" t="s">
        <v>0</v>
      </c>
      <c r="E313" s="18" t="s">
        <v>58</v>
      </c>
      <c r="F313" s="19" t="s">
        <v>22</v>
      </c>
      <c r="G313" s="20">
        <f>81-64.4</f>
        <v>16.599999999999994</v>
      </c>
    </row>
    <row r="314" spans="1:7" s="2" customFormat="1" x14ac:dyDescent="0.25">
      <c r="A314" s="38" t="s">
        <v>204</v>
      </c>
      <c r="B314" s="18" t="s">
        <v>11</v>
      </c>
      <c r="C314" s="18" t="s">
        <v>81</v>
      </c>
      <c r="D314" s="18" t="s">
        <v>1</v>
      </c>
      <c r="E314" s="18"/>
      <c r="F314" s="19"/>
      <c r="G314" s="20">
        <f>SUM(G315+G318+G321+G323)</f>
        <v>8609</v>
      </c>
    </row>
    <row r="315" spans="1:7" s="2" customFormat="1" x14ac:dyDescent="0.25">
      <c r="A315" s="38" t="s">
        <v>35</v>
      </c>
      <c r="B315" s="18" t="s">
        <v>11</v>
      </c>
      <c r="C315" s="18" t="s">
        <v>81</v>
      </c>
      <c r="D315" s="18" t="s">
        <v>1</v>
      </c>
      <c r="E315" s="18" t="s">
        <v>54</v>
      </c>
      <c r="F315" s="19"/>
      <c r="G315" s="20">
        <f>SUM(G316:G317)</f>
        <v>8179.2</v>
      </c>
    </row>
    <row r="316" spans="1:7" s="2" customFormat="1" ht="45.75" customHeight="1" x14ac:dyDescent="0.25">
      <c r="A316" s="38" t="s">
        <v>152</v>
      </c>
      <c r="B316" s="18" t="s">
        <v>11</v>
      </c>
      <c r="C316" s="18" t="s">
        <v>81</v>
      </c>
      <c r="D316" s="18" t="s">
        <v>1</v>
      </c>
      <c r="E316" s="18" t="s">
        <v>54</v>
      </c>
      <c r="F316" s="19" t="s">
        <v>20</v>
      </c>
      <c r="G316" s="20">
        <f>8009.9+79.8+0.1-37.6-9.2</f>
        <v>8043</v>
      </c>
    </row>
    <row r="317" spans="1:7" s="2" customFormat="1" ht="31.2" x14ac:dyDescent="0.25">
      <c r="A317" s="38" t="s">
        <v>153</v>
      </c>
      <c r="B317" s="18" t="s">
        <v>11</v>
      </c>
      <c r="C317" s="18" t="s">
        <v>81</v>
      </c>
      <c r="D317" s="18" t="s">
        <v>1</v>
      </c>
      <c r="E317" s="18" t="s">
        <v>54</v>
      </c>
      <c r="F317" s="19" t="s">
        <v>22</v>
      </c>
      <c r="G317" s="20">
        <f>140.5+37.6-41.9</f>
        <v>136.19999999999999</v>
      </c>
    </row>
    <row r="318" spans="1:7" s="2" customFormat="1" ht="51" customHeight="1" x14ac:dyDescent="0.25">
      <c r="A318" s="38" t="s">
        <v>43</v>
      </c>
      <c r="B318" s="18" t="s">
        <v>11</v>
      </c>
      <c r="C318" s="18" t="s">
        <v>81</v>
      </c>
      <c r="D318" s="18" t="s">
        <v>1</v>
      </c>
      <c r="E318" s="18" t="s">
        <v>60</v>
      </c>
      <c r="F318" s="19"/>
      <c r="G318" s="20">
        <f>G320+G319</f>
        <v>382.8</v>
      </c>
    </row>
    <row r="319" spans="1:7" s="2" customFormat="1" ht="46.8" x14ac:dyDescent="0.25">
      <c r="A319" s="38" t="s">
        <v>152</v>
      </c>
      <c r="B319" s="18" t="s">
        <v>11</v>
      </c>
      <c r="C319" s="18" t="s">
        <v>81</v>
      </c>
      <c r="D319" s="18" t="s">
        <v>1</v>
      </c>
      <c r="E319" s="18" t="s">
        <v>60</v>
      </c>
      <c r="F319" s="19" t="s">
        <v>20</v>
      </c>
      <c r="G319" s="20">
        <f>333.4+3.3</f>
        <v>336.7</v>
      </c>
    </row>
    <row r="320" spans="1:7" s="2" customFormat="1" ht="33" customHeight="1" x14ac:dyDescent="0.25">
      <c r="A320" s="38" t="s">
        <v>153</v>
      </c>
      <c r="B320" s="18" t="s">
        <v>11</v>
      </c>
      <c r="C320" s="18" t="s">
        <v>81</v>
      </c>
      <c r="D320" s="18" t="s">
        <v>1</v>
      </c>
      <c r="E320" s="18" t="s">
        <v>60</v>
      </c>
      <c r="F320" s="19" t="s">
        <v>22</v>
      </c>
      <c r="G320" s="20">
        <v>46.1</v>
      </c>
    </row>
    <row r="321" spans="1:7" s="2" customFormat="1" ht="21.6" customHeight="1" x14ac:dyDescent="0.25">
      <c r="A321" s="38" t="s">
        <v>374</v>
      </c>
      <c r="B321" s="18" t="s">
        <v>11</v>
      </c>
      <c r="C321" s="32">
        <v>1</v>
      </c>
      <c r="D321" s="18" t="s">
        <v>1</v>
      </c>
      <c r="E321" s="18" t="s">
        <v>375</v>
      </c>
      <c r="F321" s="18"/>
      <c r="G321" s="20">
        <f t="shared" ref="G321" si="0">SUM(G322)</f>
        <v>35</v>
      </c>
    </row>
    <row r="322" spans="1:7" s="2" customFormat="1" ht="31.95" customHeight="1" x14ac:dyDescent="0.25">
      <c r="A322" s="38" t="s">
        <v>153</v>
      </c>
      <c r="B322" s="18" t="s">
        <v>11</v>
      </c>
      <c r="C322" s="32">
        <v>1</v>
      </c>
      <c r="D322" s="18" t="s">
        <v>1</v>
      </c>
      <c r="E322" s="18" t="s">
        <v>375</v>
      </c>
      <c r="F322" s="18" t="s">
        <v>22</v>
      </c>
      <c r="G322" s="20">
        <v>35</v>
      </c>
    </row>
    <row r="323" spans="1:7" s="2" customFormat="1" ht="19.2" customHeight="1" x14ac:dyDescent="0.25">
      <c r="A323" s="38" t="s">
        <v>380</v>
      </c>
      <c r="B323" s="18" t="s">
        <v>11</v>
      </c>
      <c r="C323" s="18" t="s">
        <v>81</v>
      </c>
      <c r="D323" s="18" t="s">
        <v>1</v>
      </c>
      <c r="E323" s="18" t="s">
        <v>381</v>
      </c>
      <c r="F323" s="19"/>
      <c r="G323" s="20">
        <f t="shared" ref="G323" si="1">SUM(G324)</f>
        <v>12</v>
      </c>
    </row>
    <row r="324" spans="1:7" s="2" customFormat="1" ht="31.95" customHeight="1" x14ac:dyDescent="0.25">
      <c r="A324" s="38" t="s">
        <v>153</v>
      </c>
      <c r="B324" s="18" t="s">
        <v>11</v>
      </c>
      <c r="C324" s="18" t="s">
        <v>81</v>
      </c>
      <c r="D324" s="18" t="s">
        <v>1</v>
      </c>
      <c r="E324" s="18" t="s">
        <v>381</v>
      </c>
      <c r="F324" s="19" t="s">
        <v>22</v>
      </c>
      <c r="G324" s="20">
        <v>12</v>
      </c>
    </row>
    <row r="325" spans="1:7" s="2" customFormat="1" ht="17.399999999999999" customHeight="1" x14ac:dyDescent="0.25">
      <c r="A325" s="38" t="s">
        <v>205</v>
      </c>
      <c r="B325" s="18" t="s">
        <v>11</v>
      </c>
      <c r="C325" s="18" t="s">
        <v>81</v>
      </c>
      <c r="D325" s="18" t="s">
        <v>2</v>
      </c>
      <c r="E325" s="18"/>
      <c r="F325" s="19"/>
      <c r="G325" s="20">
        <f>SUM(G326)</f>
        <v>1933</v>
      </c>
    </row>
    <row r="326" spans="1:7" s="2" customFormat="1" ht="48" customHeight="1" x14ac:dyDescent="0.25">
      <c r="A326" s="37" t="s">
        <v>40</v>
      </c>
      <c r="B326" s="18" t="s">
        <v>11</v>
      </c>
      <c r="C326" s="18" t="s">
        <v>81</v>
      </c>
      <c r="D326" s="18" t="s">
        <v>2</v>
      </c>
      <c r="E326" s="18" t="s">
        <v>69</v>
      </c>
      <c r="F326" s="19"/>
      <c r="G326" s="20">
        <f>SUM(G327)</f>
        <v>1933</v>
      </c>
    </row>
    <row r="327" spans="1:7" s="2" customFormat="1" ht="31.95" customHeight="1" x14ac:dyDescent="0.25">
      <c r="A327" s="39" t="s">
        <v>154</v>
      </c>
      <c r="B327" s="18" t="s">
        <v>11</v>
      </c>
      <c r="C327" s="18" t="s">
        <v>81</v>
      </c>
      <c r="D327" s="18" t="s">
        <v>2</v>
      </c>
      <c r="E327" s="18" t="s">
        <v>69</v>
      </c>
      <c r="F327" s="19" t="s">
        <v>149</v>
      </c>
      <c r="G327" s="20">
        <f>1916.2+16.8</f>
        <v>1933</v>
      </c>
    </row>
    <row r="328" spans="1:7" s="2" customFormat="1" ht="31.95" customHeight="1" x14ac:dyDescent="0.25">
      <c r="A328" s="39" t="s">
        <v>330</v>
      </c>
      <c r="B328" s="18" t="s">
        <v>11</v>
      </c>
      <c r="C328" s="18" t="s">
        <v>81</v>
      </c>
      <c r="D328" s="18" t="s">
        <v>3</v>
      </c>
      <c r="E328" s="18"/>
      <c r="F328" s="19"/>
      <c r="G328" s="20">
        <f>SUM(G329)</f>
        <v>14092.400000000001</v>
      </c>
    </row>
    <row r="329" spans="1:7" s="2" customFormat="1" ht="18" customHeight="1" x14ac:dyDescent="0.25">
      <c r="A329" s="39" t="s">
        <v>329</v>
      </c>
      <c r="B329" s="18" t="s">
        <v>11</v>
      </c>
      <c r="C329" s="18" t="s">
        <v>81</v>
      </c>
      <c r="D329" s="18" t="s">
        <v>3</v>
      </c>
      <c r="E329" s="18" t="s">
        <v>328</v>
      </c>
      <c r="F329" s="19"/>
      <c r="G329" s="20">
        <f>SUM(G330)</f>
        <v>14092.400000000001</v>
      </c>
    </row>
    <row r="330" spans="1:7" s="2" customFormat="1" ht="18" customHeight="1" x14ac:dyDescent="0.25">
      <c r="A330" s="39" t="s">
        <v>9</v>
      </c>
      <c r="B330" s="18" t="s">
        <v>11</v>
      </c>
      <c r="C330" s="18" t="s">
        <v>81</v>
      </c>
      <c r="D330" s="18" t="s">
        <v>3</v>
      </c>
      <c r="E330" s="18" t="s">
        <v>328</v>
      </c>
      <c r="F330" s="19" t="s">
        <v>31</v>
      </c>
      <c r="G330" s="20">
        <f>10003.6+4088.8</f>
        <v>14092.400000000001</v>
      </c>
    </row>
    <row r="331" spans="1:7" s="2" customFormat="1" ht="31.5" customHeight="1" x14ac:dyDescent="0.25">
      <c r="A331" s="37" t="s">
        <v>231</v>
      </c>
      <c r="B331" s="18" t="s">
        <v>5</v>
      </c>
      <c r="C331" s="18"/>
      <c r="D331" s="18"/>
      <c r="E331" s="18"/>
      <c r="F331" s="19"/>
      <c r="G331" s="20">
        <f>SUM(G332)</f>
        <v>119629.7</v>
      </c>
    </row>
    <row r="332" spans="1:7" s="2" customFormat="1" ht="49.2" customHeight="1" x14ac:dyDescent="0.25">
      <c r="A332" s="40" t="s">
        <v>232</v>
      </c>
      <c r="B332" s="18" t="s">
        <v>5</v>
      </c>
      <c r="C332" s="18" t="s">
        <v>81</v>
      </c>
      <c r="D332" s="18"/>
      <c r="E332" s="18"/>
      <c r="F332" s="19"/>
      <c r="G332" s="20">
        <f>SUM(G333+G340+G350)</f>
        <v>119629.7</v>
      </c>
    </row>
    <row r="333" spans="1:7" s="2" customFormat="1" ht="21.6" customHeight="1" x14ac:dyDescent="0.25">
      <c r="A333" s="40" t="s">
        <v>68</v>
      </c>
      <c r="B333" s="18" t="s">
        <v>5</v>
      </c>
      <c r="C333" s="18" t="s">
        <v>81</v>
      </c>
      <c r="D333" s="18" t="s">
        <v>0</v>
      </c>
      <c r="E333" s="18"/>
      <c r="F333" s="19"/>
      <c r="G333" s="20">
        <f>SUM(G334)</f>
        <v>98472.1</v>
      </c>
    </row>
    <row r="334" spans="1:7" s="2" customFormat="1" ht="53.4" customHeight="1" x14ac:dyDescent="0.25">
      <c r="A334" s="40" t="s">
        <v>144</v>
      </c>
      <c r="B334" s="18" t="s">
        <v>5</v>
      </c>
      <c r="C334" s="18" t="s">
        <v>81</v>
      </c>
      <c r="D334" s="18" t="s">
        <v>0</v>
      </c>
      <c r="E334" s="18" t="s">
        <v>69</v>
      </c>
      <c r="F334" s="19"/>
      <c r="G334" s="20">
        <f>SUM(G335:G339)</f>
        <v>98472.1</v>
      </c>
    </row>
    <row r="335" spans="1:7" s="2" customFormat="1" ht="51" customHeight="1" x14ac:dyDescent="0.25">
      <c r="A335" s="38" t="s">
        <v>152</v>
      </c>
      <c r="B335" s="18" t="s">
        <v>5</v>
      </c>
      <c r="C335" s="18" t="s">
        <v>81</v>
      </c>
      <c r="D335" s="18" t="s">
        <v>0</v>
      </c>
      <c r="E335" s="18" t="s">
        <v>69</v>
      </c>
      <c r="F335" s="19" t="s">
        <v>20</v>
      </c>
      <c r="G335" s="20">
        <f>47378.5+473.9-3.8-483.9+6577.3</f>
        <v>53942</v>
      </c>
    </row>
    <row r="336" spans="1:7" s="2" customFormat="1" ht="38.4" customHeight="1" x14ac:dyDescent="0.25">
      <c r="A336" s="38" t="s">
        <v>153</v>
      </c>
      <c r="B336" s="18" t="s">
        <v>5</v>
      </c>
      <c r="C336" s="18" t="s">
        <v>81</v>
      </c>
      <c r="D336" s="18" t="s">
        <v>0</v>
      </c>
      <c r="E336" s="18" t="s">
        <v>69</v>
      </c>
      <c r="F336" s="19" t="s">
        <v>22</v>
      </c>
      <c r="G336" s="20">
        <f>39027.5+1201.8-505.7+176.6+0.1+49-5668</f>
        <v>34281.300000000003</v>
      </c>
    </row>
    <row r="337" spans="1:7" s="2" customFormat="1" ht="18" customHeight="1" x14ac:dyDescent="0.25">
      <c r="A337" s="38" t="s">
        <v>155</v>
      </c>
      <c r="B337" s="18" t="s">
        <v>5</v>
      </c>
      <c r="C337" s="18" t="s">
        <v>81</v>
      </c>
      <c r="D337" s="18" t="s">
        <v>0</v>
      </c>
      <c r="E337" s="18" t="s">
        <v>69</v>
      </c>
      <c r="F337" s="19" t="s">
        <v>147</v>
      </c>
      <c r="G337" s="20">
        <v>3.8</v>
      </c>
    </row>
    <row r="338" spans="1:7" s="2" customFormat="1" ht="32.4" customHeight="1" x14ac:dyDescent="0.25">
      <c r="A338" s="38" t="s">
        <v>160</v>
      </c>
      <c r="B338" s="18" t="s">
        <v>5</v>
      </c>
      <c r="C338" s="18" t="s">
        <v>81</v>
      </c>
      <c r="D338" s="18" t="s">
        <v>0</v>
      </c>
      <c r="E338" s="18" t="s">
        <v>69</v>
      </c>
      <c r="F338" s="19" t="s">
        <v>149</v>
      </c>
      <c r="G338" s="20">
        <f>8419.6+79.5+870.8</f>
        <v>9369.9</v>
      </c>
    </row>
    <row r="339" spans="1:7" s="2" customFormat="1" ht="20.399999999999999" customHeight="1" x14ac:dyDescent="0.25">
      <c r="A339" s="38" t="s">
        <v>24</v>
      </c>
      <c r="B339" s="18" t="s">
        <v>5</v>
      </c>
      <c r="C339" s="18" t="s">
        <v>81</v>
      </c>
      <c r="D339" s="18" t="s">
        <v>0</v>
      </c>
      <c r="E339" s="18" t="s">
        <v>69</v>
      </c>
      <c r="F339" s="19" t="s">
        <v>25</v>
      </c>
      <c r="G339" s="20">
        <f>959.6-2.2-82.3</f>
        <v>875.1</v>
      </c>
    </row>
    <row r="340" spans="1:7" s="2" customFormat="1" ht="33" customHeight="1" x14ac:dyDescent="0.25">
      <c r="A340" s="43" t="s">
        <v>82</v>
      </c>
      <c r="B340" s="18" t="s">
        <v>5</v>
      </c>
      <c r="C340" s="18" t="s">
        <v>81</v>
      </c>
      <c r="D340" s="18" t="s">
        <v>1</v>
      </c>
      <c r="E340" s="18"/>
      <c r="F340" s="19"/>
      <c r="G340" s="20">
        <f>SUM(G346+G341+G348+G343)</f>
        <v>21157.599999999991</v>
      </c>
    </row>
    <row r="341" spans="1:7" s="2" customFormat="1" ht="19.2" customHeight="1" x14ac:dyDescent="0.25">
      <c r="A341" s="38" t="s">
        <v>374</v>
      </c>
      <c r="B341" s="18" t="s">
        <v>5</v>
      </c>
      <c r="C341" s="32">
        <v>1</v>
      </c>
      <c r="D341" s="18" t="s">
        <v>1</v>
      </c>
      <c r="E341" s="18" t="s">
        <v>375</v>
      </c>
      <c r="F341" s="19"/>
      <c r="G341" s="20">
        <f>SUM(G342)</f>
        <v>472.7000000000001</v>
      </c>
    </row>
    <row r="342" spans="1:7" s="2" customFormat="1" ht="31.2" x14ac:dyDescent="0.25">
      <c r="A342" s="38" t="s">
        <v>153</v>
      </c>
      <c r="B342" s="18" t="s">
        <v>5</v>
      </c>
      <c r="C342" s="32">
        <v>1</v>
      </c>
      <c r="D342" s="18" t="s">
        <v>1</v>
      </c>
      <c r="E342" s="18" t="s">
        <v>375</v>
      </c>
      <c r="F342" s="19" t="s">
        <v>22</v>
      </c>
      <c r="G342" s="20">
        <f>409.5+111.1+28.1-51.4-87.7+64.4-1.3</f>
        <v>472.7000000000001</v>
      </c>
    </row>
    <row r="343" spans="1:7" s="2" customFormat="1" x14ac:dyDescent="0.25">
      <c r="A343" s="38" t="s">
        <v>380</v>
      </c>
      <c r="B343" s="18" t="s">
        <v>5</v>
      </c>
      <c r="C343" s="32">
        <v>1</v>
      </c>
      <c r="D343" s="18" t="s">
        <v>1</v>
      </c>
      <c r="E343" s="18" t="s">
        <v>381</v>
      </c>
      <c r="F343" s="19"/>
      <c r="G343" s="20">
        <f>SUM(G344:G345)</f>
        <v>259.59999999999997</v>
      </c>
    </row>
    <row r="344" spans="1:7" s="2" customFormat="1" ht="31.2" x14ac:dyDescent="0.25">
      <c r="A344" s="38" t="s">
        <v>19</v>
      </c>
      <c r="B344" s="18" t="s">
        <v>5</v>
      </c>
      <c r="C344" s="32">
        <v>1</v>
      </c>
      <c r="D344" s="18" t="s">
        <v>1</v>
      </c>
      <c r="E344" s="18" t="s">
        <v>381</v>
      </c>
      <c r="F344" s="19" t="s">
        <v>20</v>
      </c>
      <c r="G344" s="20">
        <f>22.6-22.6</f>
        <v>0</v>
      </c>
    </row>
    <row r="345" spans="1:7" s="2" customFormat="1" ht="31.2" x14ac:dyDescent="0.25">
      <c r="A345" s="38" t="s">
        <v>153</v>
      </c>
      <c r="B345" s="18" t="s">
        <v>5</v>
      </c>
      <c r="C345" s="32">
        <v>1</v>
      </c>
      <c r="D345" s="18" t="s">
        <v>1</v>
      </c>
      <c r="E345" s="18" t="s">
        <v>381</v>
      </c>
      <c r="F345" s="19" t="s">
        <v>22</v>
      </c>
      <c r="G345" s="20">
        <f>109.5+114.3+45+16.5+51.4-0.8-76.3</f>
        <v>259.59999999999997</v>
      </c>
    </row>
    <row r="346" spans="1:7" s="2" customFormat="1" ht="37.950000000000003" customHeight="1" x14ac:dyDescent="0.25">
      <c r="A346" s="47" t="s">
        <v>378</v>
      </c>
      <c r="B346" s="18" t="s">
        <v>5</v>
      </c>
      <c r="C346" s="18" t="s">
        <v>81</v>
      </c>
      <c r="D346" s="18" t="s">
        <v>1</v>
      </c>
      <c r="E346" s="18" t="s">
        <v>379</v>
      </c>
      <c r="F346" s="19"/>
      <c r="G346" s="20">
        <f>SUM(G347:G347)</f>
        <v>18407.099999999991</v>
      </c>
    </row>
    <row r="347" spans="1:7" s="2" customFormat="1" ht="31.2" x14ac:dyDescent="0.25">
      <c r="A347" s="38" t="s">
        <v>153</v>
      </c>
      <c r="B347" s="18" t="s">
        <v>5</v>
      </c>
      <c r="C347" s="18" t="s">
        <v>81</v>
      </c>
      <c r="D347" s="18" t="s">
        <v>1</v>
      </c>
      <c r="E347" s="18" t="s">
        <v>379</v>
      </c>
      <c r="F347" s="19" t="s">
        <v>22</v>
      </c>
      <c r="G347" s="20">
        <f>10630+4042.9+343.8+2751.4+102.6+405.8+5311.4+16.6-2564.4+87.7+1.9-2709.4-13.2</f>
        <v>18407.099999999991</v>
      </c>
    </row>
    <row r="348" spans="1:7" s="2" customFormat="1" ht="35.25" customHeight="1" x14ac:dyDescent="0.25">
      <c r="A348" s="38" t="s">
        <v>376</v>
      </c>
      <c r="B348" s="18" t="s">
        <v>5</v>
      </c>
      <c r="C348" s="32">
        <v>1</v>
      </c>
      <c r="D348" s="18" t="s">
        <v>1</v>
      </c>
      <c r="E348" s="18" t="s">
        <v>377</v>
      </c>
      <c r="F348" s="18"/>
      <c r="G348" s="20">
        <f>SUM(G349)</f>
        <v>2018.2000000000003</v>
      </c>
    </row>
    <row r="349" spans="1:7" s="2" customFormat="1" ht="35.25" customHeight="1" x14ac:dyDescent="0.25">
      <c r="A349" s="38" t="s">
        <v>153</v>
      </c>
      <c r="B349" s="18" t="s">
        <v>5</v>
      </c>
      <c r="C349" s="32">
        <v>1</v>
      </c>
      <c r="D349" s="18" t="s">
        <v>1</v>
      </c>
      <c r="E349" s="18" t="s">
        <v>377</v>
      </c>
      <c r="F349" s="18" t="s">
        <v>22</v>
      </c>
      <c r="G349" s="20">
        <f>340.8+2564.4-64.4-822.6</f>
        <v>2018.2000000000003</v>
      </c>
    </row>
    <row r="350" spans="1:7" s="2" customFormat="1" ht="40.950000000000003" customHeight="1" x14ac:dyDescent="0.25">
      <c r="A350" s="38" t="s">
        <v>422</v>
      </c>
      <c r="B350" s="18" t="s">
        <v>5</v>
      </c>
      <c r="C350" s="32">
        <v>1</v>
      </c>
      <c r="D350" s="18" t="s">
        <v>2</v>
      </c>
      <c r="E350" s="18"/>
      <c r="F350" s="18"/>
      <c r="G350" s="20">
        <f>G351+G354</f>
        <v>0</v>
      </c>
    </row>
    <row r="351" spans="1:7" s="2" customFormat="1" ht="16.95" customHeight="1" x14ac:dyDescent="0.25">
      <c r="A351" s="38" t="s">
        <v>18</v>
      </c>
      <c r="B351" s="18" t="s">
        <v>5</v>
      </c>
      <c r="C351" s="32">
        <v>1</v>
      </c>
      <c r="D351" s="18" t="s">
        <v>2</v>
      </c>
      <c r="E351" s="18" t="s">
        <v>54</v>
      </c>
      <c r="F351" s="18"/>
      <c r="G351" s="20">
        <f>G352+G353</f>
        <v>0</v>
      </c>
    </row>
    <row r="352" spans="1:7" s="2" customFormat="1" ht="33.6" customHeight="1" x14ac:dyDescent="0.25">
      <c r="A352" s="38" t="s">
        <v>19</v>
      </c>
      <c r="B352" s="18" t="s">
        <v>5</v>
      </c>
      <c r="C352" s="32">
        <v>1</v>
      </c>
      <c r="D352" s="18" t="s">
        <v>2</v>
      </c>
      <c r="E352" s="18" t="s">
        <v>54</v>
      </c>
      <c r="F352" s="18" t="s">
        <v>20</v>
      </c>
      <c r="G352" s="20"/>
    </row>
    <row r="353" spans="1:7" s="2" customFormat="1" ht="31.2" x14ac:dyDescent="0.25">
      <c r="A353" s="38" t="s">
        <v>153</v>
      </c>
      <c r="B353" s="18" t="s">
        <v>5</v>
      </c>
      <c r="C353" s="32">
        <v>1</v>
      </c>
      <c r="D353" s="18" t="s">
        <v>2</v>
      </c>
      <c r="E353" s="18" t="s">
        <v>54</v>
      </c>
      <c r="F353" s="18" t="s">
        <v>22</v>
      </c>
      <c r="G353" s="20"/>
    </row>
    <row r="354" spans="1:7" s="2" customFormat="1" ht="54.6" customHeight="1" x14ac:dyDescent="0.25">
      <c r="A354" s="40" t="s">
        <v>144</v>
      </c>
      <c r="B354" s="18" t="s">
        <v>5</v>
      </c>
      <c r="C354" s="32">
        <v>1</v>
      </c>
      <c r="D354" s="18" t="s">
        <v>2</v>
      </c>
      <c r="E354" s="18" t="s">
        <v>69</v>
      </c>
      <c r="F354" s="18"/>
      <c r="G354" s="20">
        <f>SUM(G355)</f>
        <v>0</v>
      </c>
    </row>
    <row r="355" spans="1:7" s="2" customFormat="1" ht="31.2" x14ac:dyDescent="0.25">
      <c r="A355" s="38" t="s">
        <v>160</v>
      </c>
      <c r="B355" s="18" t="s">
        <v>5</v>
      </c>
      <c r="C355" s="32">
        <v>1</v>
      </c>
      <c r="D355" s="18" t="s">
        <v>2</v>
      </c>
      <c r="E355" s="18" t="s">
        <v>69</v>
      </c>
      <c r="F355" s="18" t="s">
        <v>149</v>
      </c>
      <c r="G355" s="20"/>
    </row>
    <row r="356" spans="1:7" s="2" customFormat="1" x14ac:dyDescent="0.25">
      <c r="A356" s="37" t="s">
        <v>233</v>
      </c>
      <c r="B356" s="18" t="s">
        <v>7</v>
      </c>
      <c r="C356" s="18"/>
      <c r="D356" s="18"/>
      <c r="E356" s="18"/>
      <c r="F356" s="19"/>
      <c r="G356" s="20">
        <f>SUM(G357)</f>
        <v>13111.4</v>
      </c>
    </row>
    <row r="357" spans="1:7" s="2" customFormat="1" ht="31.2" x14ac:dyDescent="0.25">
      <c r="A357" s="37" t="s">
        <v>234</v>
      </c>
      <c r="B357" s="18" t="s">
        <v>7</v>
      </c>
      <c r="C357" s="18" t="s">
        <v>81</v>
      </c>
      <c r="D357" s="18"/>
      <c r="E357" s="18"/>
      <c r="F357" s="19"/>
      <c r="G357" s="20">
        <f>SUM(G358+G367+G374)</f>
        <v>13111.4</v>
      </c>
    </row>
    <row r="358" spans="1:7" s="2" customFormat="1" ht="31.2" x14ac:dyDescent="0.25">
      <c r="A358" s="37" t="s">
        <v>134</v>
      </c>
      <c r="B358" s="18" t="s">
        <v>7</v>
      </c>
      <c r="C358" s="18" t="s">
        <v>81</v>
      </c>
      <c r="D358" s="18" t="s">
        <v>0</v>
      </c>
      <c r="E358" s="18"/>
      <c r="F358" s="19"/>
      <c r="G358" s="20">
        <f>SUM(G359+G365+G363)</f>
        <v>4401.5999999999995</v>
      </c>
    </row>
    <row r="359" spans="1:7" s="2" customFormat="1" x14ac:dyDescent="0.25">
      <c r="A359" s="37" t="s">
        <v>35</v>
      </c>
      <c r="B359" s="18" t="s">
        <v>7</v>
      </c>
      <c r="C359" s="18" t="s">
        <v>81</v>
      </c>
      <c r="D359" s="18" t="s">
        <v>0</v>
      </c>
      <c r="E359" s="18" t="s">
        <v>54</v>
      </c>
      <c r="F359" s="19"/>
      <c r="G359" s="20">
        <f>SUM(G360:G362)</f>
        <v>4390.7</v>
      </c>
    </row>
    <row r="360" spans="1:7" s="2" customFormat="1" ht="37.200000000000003" customHeight="1" x14ac:dyDescent="0.25">
      <c r="A360" s="38" t="s">
        <v>19</v>
      </c>
      <c r="B360" s="18" t="s">
        <v>7</v>
      </c>
      <c r="C360" s="18" t="s">
        <v>81</v>
      </c>
      <c r="D360" s="18" t="s">
        <v>0</v>
      </c>
      <c r="E360" s="18" t="s">
        <v>54</v>
      </c>
      <c r="F360" s="19" t="s">
        <v>20</v>
      </c>
      <c r="G360" s="20">
        <f>4053.5+40.4+224.4</f>
        <v>4318.3</v>
      </c>
    </row>
    <row r="361" spans="1:7" s="2" customFormat="1" ht="31.2" x14ac:dyDescent="0.25">
      <c r="A361" s="38" t="s">
        <v>153</v>
      </c>
      <c r="B361" s="18" t="s">
        <v>7</v>
      </c>
      <c r="C361" s="18" t="s">
        <v>81</v>
      </c>
      <c r="D361" s="18" t="s">
        <v>0</v>
      </c>
      <c r="E361" s="18" t="s">
        <v>54</v>
      </c>
      <c r="F361" s="19" t="s">
        <v>22</v>
      </c>
      <c r="G361" s="20">
        <f>93.2-20.8</f>
        <v>72.400000000000006</v>
      </c>
    </row>
    <row r="362" spans="1:7" s="2" customFormat="1" x14ac:dyDescent="0.25">
      <c r="A362" s="38" t="s">
        <v>24</v>
      </c>
      <c r="B362" s="18" t="s">
        <v>7</v>
      </c>
      <c r="C362" s="18" t="s">
        <v>81</v>
      </c>
      <c r="D362" s="18" t="s">
        <v>0</v>
      </c>
      <c r="E362" s="18" t="s">
        <v>54</v>
      </c>
      <c r="F362" s="19" t="s">
        <v>25</v>
      </c>
      <c r="G362" s="20">
        <f>1.7-1.7</f>
        <v>0</v>
      </c>
    </row>
    <row r="363" spans="1:7" s="2" customFormat="1" x14ac:dyDescent="0.25">
      <c r="A363" s="38" t="s">
        <v>374</v>
      </c>
      <c r="B363" s="18" t="s">
        <v>7</v>
      </c>
      <c r="C363" s="32">
        <v>1</v>
      </c>
      <c r="D363" s="18" t="s">
        <v>0</v>
      </c>
      <c r="E363" s="18" t="s">
        <v>375</v>
      </c>
      <c r="F363" s="18"/>
      <c r="G363" s="34">
        <f>SUM(G364)</f>
        <v>10.9</v>
      </c>
    </row>
    <row r="364" spans="1:7" s="2" customFormat="1" ht="31.2" x14ac:dyDescent="0.25">
      <c r="A364" s="38" t="s">
        <v>153</v>
      </c>
      <c r="B364" s="18" t="s">
        <v>7</v>
      </c>
      <c r="C364" s="32">
        <v>1</v>
      </c>
      <c r="D364" s="18" t="s">
        <v>0</v>
      </c>
      <c r="E364" s="18" t="s">
        <v>375</v>
      </c>
      <c r="F364" s="18" t="s">
        <v>22</v>
      </c>
      <c r="G364" s="34">
        <v>10.9</v>
      </c>
    </row>
    <row r="365" spans="1:7" s="2" customFormat="1" x14ac:dyDescent="0.25">
      <c r="A365" s="38" t="s">
        <v>380</v>
      </c>
      <c r="B365" s="18" t="s">
        <v>7</v>
      </c>
      <c r="C365" s="18" t="s">
        <v>81</v>
      </c>
      <c r="D365" s="18" t="s">
        <v>0</v>
      </c>
      <c r="E365" s="18" t="s">
        <v>381</v>
      </c>
      <c r="F365" s="19"/>
      <c r="G365" s="20">
        <f>SUM(G366)</f>
        <v>0</v>
      </c>
    </row>
    <row r="366" spans="1:7" s="2" customFormat="1" ht="31.2" x14ac:dyDescent="0.25">
      <c r="A366" s="38" t="s">
        <v>153</v>
      </c>
      <c r="B366" s="18" t="s">
        <v>7</v>
      </c>
      <c r="C366" s="18" t="s">
        <v>81</v>
      </c>
      <c r="D366" s="18" t="s">
        <v>0</v>
      </c>
      <c r="E366" s="18" t="s">
        <v>381</v>
      </c>
      <c r="F366" s="19" t="s">
        <v>22</v>
      </c>
      <c r="G366" s="20">
        <f>8-8</f>
        <v>0</v>
      </c>
    </row>
    <row r="367" spans="1:7" s="2" customFormat="1" ht="31.2" x14ac:dyDescent="0.25">
      <c r="A367" s="37" t="s">
        <v>235</v>
      </c>
      <c r="B367" s="18" t="s">
        <v>7</v>
      </c>
      <c r="C367" s="18" t="s">
        <v>81</v>
      </c>
      <c r="D367" s="18" t="s">
        <v>1</v>
      </c>
      <c r="E367" s="18"/>
      <c r="F367" s="19"/>
      <c r="G367" s="20">
        <f>SUM(G368+G372)</f>
        <v>7304.7</v>
      </c>
    </row>
    <row r="368" spans="1:7" s="2" customFormat="1" ht="46.8" x14ac:dyDescent="0.25">
      <c r="A368" s="40" t="s">
        <v>40</v>
      </c>
      <c r="B368" s="18" t="s">
        <v>7</v>
      </c>
      <c r="C368" s="18" t="s">
        <v>81</v>
      </c>
      <c r="D368" s="18" t="s">
        <v>1</v>
      </c>
      <c r="E368" s="18" t="s">
        <v>69</v>
      </c>
      <c r="F368" s="19"/>
      <c r="G368" s="20">
        <f>SUM(G369:G371)</f>
        <v>7304.7</v>
      </c>
    </row>
    <row r="369" spans="1:7" s="2" customFormat="1" ht="31.2" x14ac:dyDescent="0.25">
      <c r="A369" s="38" t="s">
        <v>19</v>
      </c>
      <c r="B369" s="18" t="s">
        <v>7</v>
      </c>
      <c r="C369" s="18" t="s">
        <v>81</v>
      </c>
      <c r="D369" s="18" t="s">
        <v>1</v>
      </c>
      <c r="E369" s="18" t="s">
        <v>69</v>
      </c>
      <c r="F369" s="19" t="s">
        <v>20</v>
      </c>
      <c r="G369" s="20">
        <f>6568.7+65.5+367.2</f>
        <v>7001.4</v>
      </c>
    </row>
    <row r="370" spans="1:7" s="2" customFormat="1" ht="31.2" x14ac:dyDescent="0.25">
      <c r="A370" s="38" t="s">
        <v>153</v>
      </c>
      <c r="B370" s="18" t="s">
        <v>7</v>
      </c>
      <c r="C370" s="18" t="s">
        <v>81</v>
      </c>
      <c r="D370" s="18" t="s">
        <v>1</v>
      </c>
      <c r="E370" s="18" t="s">
        <v>69</v>
      </c>
      <c r="F370" s="19" t="s">
        <v>22</v>
      </c>
      <c r="G370" s="20">
        <f>328+2.2-26.9</f>
        <v>303.3</v>
      </c>
    </row>
    <row r="371" spans="1:7" s="2" customFormat="1" ht="24" customHeight="1" x14ac:dyDescent="0.25">
      <c r="A371" s="38" t="s">
        <v>24</v>
      </c>
      <c r="B371" s="18" t="s">
        <v>7</v>
      </c>
      <c r="C371" s="18" t="s">
        <v>81</v>
      </c>
      <c r="D371" s="18" t="s">
        <v>1</v>
      </c>
      <c r="E371" s="18" t="s">
        <v>69</v>
      </c>
      <c r="F371" s="19" t="s">
        <v>25</v>
      </c>
      <c r="G371" s="20">
        <f>1.7-1.7</f>
        <v>0</v>
      </c>
    </row>
    <row r="372" spans="1:7" s="2" customFormat="1" x14ac:dyDescent="0.25">
      <c r="A372" s="38" t="s">
        <v>333</v>
      </c>
      <c r="B372" s="18" t="s">
        <v>7</v>
      </c>
      <c r="C372" s="18" t="s">
        <v>81</v>
      </c>
      <c r="D372" s="18" t="s">
        <v>1</v>
      </c>
      <c r="E372" s="18" t="s">
        <v>334</v>
      </c>
      <c r="F372" s="18"/>
      <c r="G372" s="20">
        <f>G373</f>
        <v>0</v>
      </c>
    </row>
    <row r="373" spans="1:7" s="2" customFormat="1" ht="31.2" x14ac:dyDescent="0.25">
      <c r="A373" s="38" t="s">
        <v>19</v>
      </c>
      <c r="B373" s="18" t="s">
        <v>7</v>
      </c>
      <c r="C373" s="18" t="s">
        <v>81</v>
      </c>
      <c r="D373" s="18" t="s">
        <v>1</v>
      </c>
      <c r="E373" s="18" t="s">
        <v>334</v>
      </c>
      <c r="F373" s="18" t="s">
        <v>20</v>
      </c>
      <c r="G373" s="20">
        <f>114.9-114.9</f>
        <v>0</v>
      </c>
    </row>
    <row r="374" spans="1:7" s="2" customFormat="1" ht="31.2" x14ac:dyDescent="0.25">
      <c r="A374" s="38" t="s">
        <v>314</v>
      </c>
      <c r="B374" s="18" t="s">
        <v>7</v>
      </c>
      <c r="C374" s="18" t="s">
        <v>81</v>
      </c>
      <c r="D374" s="18" t="s">
        <v>2</v>
      </c>
      <c r="E374" s="18"/>
      <c r="F374" s="19"/>
      <c r="G374" s="20">
        <f>G375</f>
        <v>1405.1</v>
      </c>
    </row>
    <row r="375" spans="1:7" s="2" customFormat="1" ht="31.2" x14ac:dyDescent="0.25">
      <c r="A375" s="38" t="s">
        <v>352</v>
      </c>
      <c r="B375" s="18" t="s">
        <v>7</v>
      </c>
      <c r="C375" s="18" t="s">
        <v>81</v>
      </c>
      <c r="D375" s="18" t="s">
        <v>2</v>
      </c>
      <c r="E375" s="18" t="s">
        <v>313</v>
      </c>
      <c r="F375" s="19"/>
      <c r="G375" s="20">
        <f>G376</f>
        <v>1405.1</v>
      </c>
    </row>
    <row r="376" spans="1:7" s="2" customFormat="1" ht="31.2" x14ac:dyDescent="0.25">
      <c r="A376" s="38" t="s">
        <v>153</v>
      </c>
      <c r="B376" s="18" t="s">
        <v>7</v>
      </c>
      <c r="C376" s="18" t="s">
        <v>81</v>
      </c>
      <c r="D376" s="18" t="s">
        <v>2</v>
      </c>
      <c r="E376" s="18" t="s">
        <v>313</v>
      </c>
      <c r="F376" s="19" t="s">
        <v>22</v>
      </c>
      <c r="G376" s="20">
        <f>773.9+531.2+100</f>
        <v>1405.1</v>
      </c>
    </row>
    <row r="377" spans="1:7" s="2" customFormat="1" ht="38.4" customHeight="1" x14ac:dyDescent="0.25">
      <c r="A377" s="37" t="s">
        <v>236</v>
      </c>
      <c r="B377" s="18" t="s">
        <v>10</v>
      </c>
      <c r="C377" s="18"/>
      <c r="D377" s="18"/>
      <c r="E377" s="18"/>
      <c r="F377" s="19"/>
      <c r="G377" s="20">
        <f>SUM(G378)</f>
        <v>0</v>
      </c>
    </row>
    <row r="378" spans="1:7" s="2" customFormat="1" ht="46.8" x14ac:dyDescent="0.25">
      <c r="A378" s="37" t="s">
        <v>237</v>
      </c>
      <c r="B378" s="18" t="s">
        <v>10</v>
      </c>
      <c r="C378" s="18" t="s">
        <v>81</v>
      </c>
      <c r="D378" s="18"/>
      <c r="E378" s="18"/>
      <c r="F378" s="19"/>
      <c r="G378" s="20">
        <f>SUM(G379+G382+G385)</f>
        <v>0</v>
      </c>
    </row>
    <row r="379" spans="1:7" s="2" customFormat="1" ht="22.2" customHeight="1" x14ac:dyDescent="0.25">
      <c r="A379" s="37" t="s">
        <v>312</v>
      </c>
      <c r="B379" s="18" t="s">
        <v>10</v>
      </c>
      <c r="C379" s="18" t="s">
        <v>81</v>
      </c>
      <c r="D379" s="18" t="s">
        <v>0</v>
      </c>
      <c r="E379" s="18"/>
      <c r="F379" s="19"/>
      <c r="G379" s="20">
        <f>G380</f>
        <v>0</v>
      </c>
    </row>
    <row r="380" spans="1:7" s="2" customFormat="1" ht="51.75" customHeight="1" x14ac:dyDescent="0.25">
      <c r="A380" s="37" t="s">
        <v>353</v>
      </c>
      <c r="B380" s="18" t="s">
        <v>10</v>
      </c>
      <c r="C380" s="18" t="s">
        <v>81</v>
      </c>
      <c r="D380" s="18" t="s">
        <v>0</v>
      </c>
      <c r="E380" s="18" t="s">
        <v>311</v>
      </c>
      <c r="F380" s="19"/>
      <c r="G380" s="20">
        <f>G381</f>
        <v>0</v>
      </c>
    </row>
    <row r="381" spans="1:7" s="2" customFormat="1" ht="20.399999999999999" customHeight="1" x14ac:dyDescent="0.25">
      <c r="A381" s="38" t="s">
        <v>24</v>
      </c>
      <c r="B381" s="18" t="s">
        <v>10</v>
      </c>
      <c r="C381" s="18" t="s">
        <v>81</v>
      </c>
      <c r="D381" s="18" t="s">
        <v>0</v>
      </c>
      <c r="E381" s="18" t="s">
        <v>311</v>
      </c>
      <c r="F381" s="19" t="s">
        <v>25</v>
      </c>
      <c r="G381" s="20">
        <f>620.2-564.7-55.5</f>
        <v>0</v>
      </c>
    </row>
    <row r="382" spans="1:7" s="2" customFormat="1" ht="33" customHeight="1" x14ac:dyDescent="0.25">
      <c r="A382" s="40" t="s">
        <v>74</v>
      </c>
      <c r="B382" s="18" t="s">
        <v>10</v>
      </c>
      <c r="C382" s="18" t="s">
        <v>81</v>
      </c>
      <c r="D382" s="18" t="s">
        <v>2</v>
      </c>
      <c r="E382" s="18"/>
      <c r="F382" s="19"/>
      <c r="G382" s="20">
        <f>SUM(G383)</f>
        <v>0</v>
      </c>
    </row>
    <row r="383" spans="1:7" s="2" customFormat="1" ht="39.6" customHeight="1" x14ac:dyDescent="0.25">
      <c r="A383" s="39" t="s">
        <v>318</v>
      </c>
      <c r="B383" s="18" t="s">
        <v>10</v>
      </c>
      <c r="C383" s="18" t="s">
        <v>81</v>
      </c>
      <c r="D383" s="18" t="s">
        <v>2</v>
      </c>
      <c r="E383" s="18" t="s">
        <v>62</v>
      </c>
      <c r="F383" s="19"/>
      <c r="G383" s="20">
        <f>SUM(G384:G384)</f>
        <v>0</v>
      </c>
    </row>
    <row r="384" spans="1:7" s="2" customFormat="1" ht="17.399999999999999" customHeight="1" x14ac:dyDescent="0.25">
      <c r="A384" s="38" t="s">
        <v>24</v>
      </c>
      <c r="B384" s="18" t="s">
        <v>10</v>
      </c>
      <c r="C384" s="18" t="s">
        <v>81</v>
      </c>
      <c r="D384" s="18" t="s">
        <v>2</v>
      </c>
      <c r="E384" s="18" t="s">
        <v>62</v>
      </c>
      <c r="F384" s="19" t="s">
        <v>25</v>
      </c>
      <c r="G384" s="20">
        <f>523.2-523.2</f>
        <v>0</v>
      </c>
    </row>
    <row r="385" spans="1:7" s="2" customFormat="1" ht="39" customHeight="1" x14ac:dyDescent="0.25">
      <c r="A385" s="42" t="s">
        <v>75</v>
      </c>
      <c r="B385" s="18" t="s">
        <v>10</v>
      </c>
      <c r="C385" s="18" t="s">
        <v>81</v>
      </c>
      <c r="D385" s="18" t="s">
        <v>3</v>
      </c>
      <c r="E385" s="18"/>
      <c r="F385" s="19"/>
      <c r="G385" s="20">
        <f>SUM(G386)</f>
        <v>0</v>
      </c>
    </row>
    <row r="386" spans="1:7" s="2" customFormat="1" ht="99.6" customHeight="1" x14ac:dyDescent="0.25">
      <c r="A386" s="46" t="s">
        <v>502</v>
      </c>
      <c r="B386" s="18" t="s">
        <v>10</v>
      </c>
      <c r="C386" s="18" t="s">
        <v>81</v>
      </c>
      <c r="D386" s="18" t="s">
        <v>3</v>
      </c>
      <c r="E386" s="18" t="s">
        <v>76</v>
      </c>
      <c r="F386" s="19"/>
      <c r="G386" s="20">
        <f>SUM(G387:G387)</f>
        <v>0</v>
      </c>
    </row>
    <row r="387" spans="1:7" s="2" customFormat="1" ht="33.75" customHeight="1" x14ac:dyDescent="0.25">
      <c r="A387" s="38" t="s">
        <v>153</v>
      </c>
      <c r="B387" s="18" t="s">
        <v>10</v>
      </c>
      <c r="C387" s="18" t="s">
        <v>81</v>
      </c>
      <c r="D387" s="18" t="s">
        <v>3</v>
      </c>
      <c r="E387" s="18" t="s">
        <v>76</v>
      </c>
      <c r="F387" s="19" t="s">
        <v>22</v>
      </c>
      <c r="G387" s="20">
        <f>2645.3+2554.7+78-5278</f>
        <v>0</v>
      </c>
    </row>
    <row r="388" spans="1:7" s="2" customFormat="1" ht="33.6" customHeight="1" x14ac:dyDescent="0.25">
      <c r="A388" s="37" t="s">
        <v>238</v>
      </c>
      <c r="B388" s="18" t="s">
        <v>8</v>
      </c>
      <c r="C388" s="18"/>
      <c r="D388" s="18"/>
      <c r="E388" s="18"/>
      <c r="F388" s="19"/>
      <c r="G388" s="20">
        <f>SUM(G393+G419+G427+G389)</f>
        <v>68293</v>
      </c>
    </row>
    <row r="389" spans="1:7" s="2" customFormat="1" ht="22.2" customHeight="1" x14ac:dyDescent="0.25">
      <c r="A389" s="45" t="s">
        <v>503</v>
      </c>
      <c r="B389" s="18" t="s">
        <v>8</v>
      </c>
      <c r="C389" s="18" t="s">
        <v>81</v>
      </c>
      <c r="D389" s="18"/>
      <c r="E389" s="18"/>
      <c r="F389" s="19"/>
      <c r="G389" s="20">
        <f>SUM(G390)</f>
        <v>278</v>
      </c>
    </row>
    <row r="390" spans="1:7" s="2" customFormat="1" ht="34.200000000000003" customHeight="1" x14ac:dyDescent="0.25">
      <c r="A390" s="45" t="s">
        <v>463</v>
      </c>
      <c r="B390" s="18" t="s">
        <v>8</v>
      </c>
      <c r="C390" s="18" t="s">
        <v>81</v>
      </c>
      <c r="D390" s="18" t="s">
        <v>0</v>
      </c>
      <c r="E390" s="18"/>
      <c r="F390" s="19"/>
      <c r="G390" s="20">
        <f>SUM(G391)</f>
        <v>278</v>
      </c>
    </row>
    <row r="391" spans="1:7" s="2" customFormat="1" ht="48" customHeight="1" x14ac:dyDescent="0.25">
      <c r="A391" s="45" t="s">
        <v>504</v>
      </c>
      <c r="B391" s="18" t="s">
        <v>8</v>
      </c>
      <c r="C391" s="18" t="s">
        <v>81</v>
      </c>
      <c r="D391" s="18" t="s">
        <v>0</v>
      </c>
      <c r="E391" s="18" t="s">
        <v>464</v>
      </c>
      <c r="F391" s="19"/>
      <c r="G391" s="20">
        <f>SUM(G392)</f>
        <v>278</v>
      </c>
    </row>
    <row r="392" spans="1:7" s="2" customFormat="1" ht="37.950000000000003" customHeight="1" x14ac:dyDescent="0.25">
      <c r="A392" s="38" t="s">
        <v>153</v>
      </c>
      <c r="B392" s="18" t="s">
        <v>8</v>
      </c>
      <c r="C392" s="18" t="s">
        <v>81</v>
      </c>
      <c r="D392" s="18" t="s">
        <v>0</v>
      </c>
      <c r="E392" s="18" t="s">
        <v>464</v>
      </c>
      <c r="F392" s="19" t="s">
        <v>22</v>
      </c>
      <c r="G392" s="20">
        <f>16-9.7+220+51.7</f>
        <v>278</v>
      </c>
    </row>
    <row r="393" spans="1:7" s="2" customFormat="1" ht="17.399999999999999" customHeight="1" x14ac:dyDescent="0.25">
      <c r="A393" s="40" t="s">
        <v>239</v>
      </c>
      <c r="B393" s="18" t="s">
        <v>8</v>
      </c>
      <c r="C393" s="18" t="s">
        <v>129</v>
      </c>
      <c r="D393" s="18"/>
      <c r="E393" s="18"/>
      <c r="F393" s="18"/>
      <c r="G393" s="20">
        <f>SUM(G394)</f>
        <v>60184.000000000007</v>
      </c>
    </row>
    <row r="394" spans="1:7" s="2" customFormat="1" ht="16.95" customHeight="1" x14ac:dyDescent="0.25">
      <c r="A394" s="40" t="s">
        <v>135</v>
      </c>
      <c r="B394" s="18" t="s">
        <v>8</v>
      </c>
      <c r="C394" s="18" t="s">
        <v>129</v>
      </c>
      <c r="D394" s="18" t="s">
        <v>0</v>
      </c>
      <c r="E394" s="18"/>
      <c r="F394" s="18"/>
      <c r="G394" s="20">
        <f>SUM(G416+G398+G413+G410+G395+G403+G406+G408+G401)</f>
        <v>60184.000000000007</v>
      </c>
    </row>
    <row r="395" spans="1:7" s="2" customFormat="1" ht="80.400000000000006" customHeight="1" x14ac:dyDescent="0.25">
      <c r="A395" s="42" t="s">
        <v>294</v>
      </c>
      <c r="B395" s="18" t="s">
        <v>8</v>
      </c>
      <c r="C395" s="18" t="s">
        <v>129</v>
      </c>
      <c r="D395" s="18" t="s">
        <v>0</v>
      </c>
      <c r="E395" s="18" t="s">
        <v>401</v>
      </c>
      <c r="F395" s="18"/>
      <c r="G395" s="20">
        <f>SUM(G396:G397)</f>
        <v>34166.400000000001</v>
      </c>
    </row>
    <row r="396" spans="1:7" s="2" customFormat="1" ht="33" customHeight="1" x14ac:dyDescent="0.25">
      <c r="A396" s="38" t="s">
        <v>153</v>
      </c>
      <c r="B396" s="18" t="s">
        <v>8</v>
      </c>
      <c r="C396" s="18" t="s">
        <v>129</v>
      </c>
      <c r="D396" s="18" t="s">
        <v>0</v>
      </c>
      <c r="E396" s="18" t="s">
        <v>401</v>
      </c>
      <c r="F396" s="18" t="s">
        <v>22</v>
      </c>
      <c r="G396" s="20">
        <f>540-200</f>
        <v>340</v>
      </c>
    </row>
    <row r="397" spans="1:7" s="2" customFormat="1" ht="18" customHeight="1" x14ac:dyDescent="0.25">
      <c r="A397" s="38" t="s">
        <v>155</v>
      </c>
      <c r="B397" s="18" t="s">
        <v>8</v>
      </c>
      <c r="C397" s="18" t="s">
        <v>129</v>
      </c>
      <c r="D397" s="18" t="s">
        <v>0</v>
      </c>
      <c r="E397" s="18" t="s">
        <v>401</v>
      </c>
      <c r="F397" s="18" t="s">
        <v>147</v>
      </c>
      <c r="G397" s="20">
        <f>35941+547.2-1720-376.6-565.2</f>
        <v>33826.400000000001</v>
      </c>
    </row>
    <row r="398" spans="1:7" s="2" customFormat="1" ht="49.2" customHeight="1" x14ac:dyDescent="0.25">
      <c r="A398" s="48" t="s">
        <v>436</v>
      </c>
      <c r="B398" s="18" t="s">
        <v>8</v>
      </c>
      <c r="C398" s="18" t="s">
        <v>129</v>
      </c>
      <c r="D398" s="18" t="s">
        <v>0</v>
      </c>
      <c r="E398" s="18" t="s">
        <v>433</v>
      </c>
      <c r="F398" s="18"/>
      <c r="G398" s="20">
        <f>SUM(G399:G400)</f>
        <v>89.000000000000014</v>
      </c>
    </row>
    <row r="399" spans="1:7" s="2" customFormat="1" ht="34.950000000000003" customHeight="1" x14ac:dyDescent="0.25">
      <c r="A399" s="38" t="s">
        <v>153</v>
      </c>
      <c r="B399" s="18" t="s">
        <v>8</v>
      </c>
      <c r="C399" s="18" t="s">
        <v>129</v>
      </c>
      <c r="D399" s="18" t="s">
        <v>0</v>
      </c>
      <c r="E399" s="18" t="s">
        <v>433</v>
      </c>
      <c r="F399" s="18" t="s">
        <v>22</v>
      </c>
      <c r="G399" s="20">
        <v>1.8</v>
      </c>
    </row>
    <row r="400" spans="1:7" s="2" customFormat="1" ht="17.399999999999999" customHeight="1" x14ac:dyDescent="0.25">
      <c r="A400" s="38" t="s">
        <v>155</v>
      </c>
      <c r="B400" s="18" t="s">
        <v>8</v>
      </c>
      <c r="C400" s="18" t="s">
        <v>129</v>
      </c>
      <c r="D400" s="18" t="s">
        <v>0</v>
      </c>
      <c r="E400" s="18" t="s">
        <v>433</v>
      </c>
      <c r="F400" s="18" t="s">
        <v>147</v>
      </c>
      <c r="G400" s="20">
        <f>177.9-57.6-33.1</f>
        <v>87.200000000000017</v>
      </c>
    </row>
    <row r="401" spans="1:7" s="2" customFormat="1" ht="79.95" customHeight="1" x14ac:dyDescent="0.25">
      <c r="A401" s="48" t="s">
        <v>197</v>
      </c>
      <c r="B401" s="18" t="s">
        <v>8</v>
      </c>
      <c r="C401" s="18" t="s">
        <v>129</v>
      </c>
      <c r="D401" s="18" t="s">
        <v>0</v>
      </c>
      <c r="E401" s="18" t="s">
        <v>403</v>
      </c>
      <c r="F401" s="18"/>
      <c r="G401" s="20">
        <f>G402</f>
        <v>0</v>
      </c>
    </row>
    <row r="402" spans="1:7" s="2" customFormat="1" ht="36.6" customHeight="1" x14ac:dyDescent="0.25">
      <c r="A402" s="38" t="s">
        <v>153</v>
      </c>
      <c r="B402" s="18" t="s">
        <v>8</v>
      </c>
      <c r="C402" s="18" t="s">
        <v>129</v>
      </c>
      <c r="D402" s="18" t="s">
        <v>0</v>
      </c>
      <c r="E402" s="18" t="s">
        <v>403</v>
      </c>
      <c r="F402" s="18" t="s">
        <v>22</v>
      </c>
      <c r="G402" s="20">
        <f>34.8+64.8-99.6</f>
        <v>0</v>
      </c>
    </row>
    <row r="403" spans="1:7" s="2" customFormat="1" ht="49.2" customHeight="1" x14ac:dyDescent="0.25">
      <c r="A403" s="39" t="s">
        <v>295</v>
      </c>
      <c r="B403" s="18" t="s">
        <v>8</v>
      </c>
      <c r="C403" s="18" t="s">
        <v>129</v>
      </c>
      <c r="D403" s="18" t="s">
        <v>0</v>
      </c>
      <c r="E403" s="18" t="s">
        <v>402</v>
      </c>
      <c r="F403" s="18"/>
      <c r="G403" s="20">
        <f>SUM(G404:G405)</f>
        <v>14417.5</v>
      </c>
    </row>
    <row r="404" spans="1:7" s="2" customFormat="1" ht="33.75" customHeight="1" x14ac:dyDescent="0.25">
      <c r="A404" s="38" t="s">
        <v>153</v>
      </c>
      <c r="B404" s="18" t="s">
        <v>8</v>
      </c>
      <c r="C404" s="18" t="s">
        <v>129</v>
      </c>
      <c r="D404" s="18" t="s">
        <v>0</v>
      </c>
      <c r="E404" s="18" t="s">
        <v>402</v>
      </c>
      <c r="F404" s="18" t="s">
        <v>22</v>
      </c>
      <c r="G404" s="20">
        <f>235.8-235.8</f>
        <v>0</v>
      </c>
    </row>
    <row r="405" spans="1:7" s="2" customFormat="1" ht="20.25" customHeight="1" x14ac:dyDescent="0.25">
      <c r="A405" s="38" t="s">
        <v>155</v>
      </c>
      <c r="B405" s="18" t="s">
        <v>8</v>
      </c>
      <c r="C405" s="18" t="s">
        <v>129</v>
      </c>
      <c r="D405" s="18" t="s">
        <v>0</v>
      </c>
      <c r="E405" s="18" t="s">
        <v>402</v>
      </c>
      <c r="F405" s="18" t="s">
        <v>147</v>
      </c>
      <c r="G405" s="20">
        <f>15717-353-1568.8+622.3</f>
        <v>14417.5</v>
      </c>
    </row>
    <row r="406" spans="1:7" s="2" customFormat="1" ht="62.4" x14ac:dyDescent="0.25">
      <c r="A406" s="48" t="s">
        <v>437</v>
      </c>
      <c r="B406" s="18" t="s">
        <v>8</v>
      </c>
      <c r="C406" s="18" t="s">
        <v>129</v>
      </c>
      <c r="D406" s="18" t="s">
        <v>0</v>
      </c>
      <c r="E406" s="18" t="s">
        <v>434</v>
      </c>
      <c r="F406" s="18"/>
      <c r="G406" s="20">
        <f>G407</f>
        <v>70.900000000000006</v>
      </c>
    </row>
    <row r="407" spans="1:7" s="2" customFormat="1" ht="23.4" customHeight="1" x14ac:dyDescent="0.25">
      <c r="A407" s="38" t="s">
        <v>155</v>
      </c>
      <c r="B407" s="18" t="s">
        <v>8</v>
      </c>
      <c r="C407" s="18" t="s">
        <v>129</v>
      </c>
      <c r="D407" s="18" t="s">
        <v>0</v>
      </c>
      <c r="E407" s="18" t="s">
        <v>434</v>
      </c>
      <c r="F407" s="18" t="s">
        <v>147</v>
      </c>
      <c r="G407" s="20">
        <f>173.3-78.4-24</f>
        <v>70.900000000000006</v>
      </c>
    </row>
    <row r="408" spans="1:7" s="2" customFormat="1" ht="93.6" x14ac:dyDescent="0.25">
      <c r="A408" s="48" t="s">
        <v>438</v>
      </c>
      <c r="B408" s="18" t="s">
        <v>8</v>
      </c>
      <c r="C408" s="18" t="s">
        <v>129</v>
      </c>
      <c r="D408" s="18" t="s">
        <v>0</v>
      </c>
      <c r="E408" s="18" t="s">
        <v>435</v>
      </c>
      <c r="F408" s="18"/>
      <c r="G408" s="20">
        <f>G409</f>
        <v>0</v>
      </c>
    </row>
    <row r="409" spans="1:7" s="2" customFormat="1" x14ac:dyDescent="0.25">
      <c r="A409" s="38" t="s">
        <v>155</v>
      </c>
      <c r="B409" s="18" t="s">
        <v>8</v>
      </c>
      <c r="C409" s="18" t="s">
        <v>129</v>
      </c>
      <c r="D409" s="18" t="s">
        <v>0</v>
      </c>
      <c r="E409" s="18" t="s">
        <v>435</v>
      </c>
      <c r="F409" s="18" t="s">
        <v>147</v>
      </c>
      <c r="G409" s="20"/>
    </row>
    <row r="410" spans="1:7" s="2" customFormat="1" ht="130.19999999999999" customHeight="1" x14ac:dyDescent="0.25">
      <c r="A410" s="41" t="s">
        <v>297</v>
      </c>
      <c r="B410" s="18" t="s">
        <v>8</v>
      </c>
      <c r="C410" s="18" t="s">
        <v>129</v>
      </c>
      <c r="D410" s="18" t="s">
        <v>0</v>
      </c>
      <c r="E410" s="18" t="s">
        <v>406</v>
      </c>
      <c r="F410" s="18"/>
      <c r="G410" s="20">
        <f>SUM(G411:G412)</f>
        <v>992.6</v>
      </c>
    </row>
    <row r="411" spans="1:7" s="2" customFormat="1" ht="51.6" customHeight="1" x14ac:dyDescent="0.25">
      <c r="A411" s="38" t="s">
        <v>150</v>
      </c>
      <c r="B411" s="18" t="s">
        <v>8</v>
      </c>
      <c r="C411" s="18" t="s">
        <v>129</v>
      </c>
      <c r="D411" s="18" t="s">
        <v>0</v>
      </c>
      <c r="E411" s="18" t="s">
        <v>406</v>
      </c>
      <c r="F411" s="18" t="s">
        <v>20</v>
      </c>
      <c r="G411" s="20">
        <f>904.6-3.4</f>
        <v>901.2</v>
      </c>
    </row>
    <row r="412" spans="1:7" s="2" customFormat="1" ht="31.2" x14ac:dyDescent="0.25">
      <c r="A412" s="38" t="s">
        <v>153</v>
      </c>
      <c r="B412" s="18" t="s">
        <v>8</v>
      </c>
      <c r="C412" s="18" t="s">
        <v>129</v>
      </c>
      <c r="D412" s="18" t="s">
        <v>0</v>
      </c>
      <c r="E412" s="18" t="s">
        <v>406</v>
      </c>
      <c r="F412" s="18" t="s">
        <v>22</v>
      </c>
      <c r="G412" s="20">
        <f>88+3.4</f>
        <v>91.4</v>
      </c>
    </row>
    <row r="413" spans="1:7" s="2" customFormat="1" ht="46.8" x14ac:dyDescent="0.25">
      <c r="A413" s="40" t="s">
        <v>400</v>
      </c>
      <c r="B413" s="18" t="s">
        <v>8</v>
      </c>
      <c r="C413" s="18" t="s">
        <v>129</v>
      </c>
      <c r="D413" s="18" t="s">
        <v>0</v>
      </c>
      <c r="E413" s="18" t="s">
        <v>405</v>
      </c>
      <c r="F413" s="18"/>
      <c r="G413" s="20">
        <f>SUM(G414:G415)</f>
        <v>730</v>
      </c>
    </row>
    <row r="414" spans="1:7" s="2" customFormat="1" ht="16.95" customHeight="1" x14ac:dyDescent="0.25">
      <c r="A414" s="38" t="s">
        <v>150</v>
      </c>
      <c r="B414" s="18" t="s">
        <v>8</v>
      </c>
      <c r="C414" s="18" t="s">
        <v>129</v>
      </c>
      <c r="D414" s="18" t="s">
        <v>0</v>
      </c>
      <c r="E414" s="18" t="s">
        <v>405</v>
      </c>
      <c r="F414" s="18" t="s">
        <v>20</v>
      </c>
      <c r="G414" s="20">
        <f>636-34.5+40.5</f>
        <v>642</v>
      </c>
    </row>
    <row r="415" spans="1:7" s="2" customFormat="1" ht="36.6" customHeight="1" x14ac:dyDescent="0.25">
      <c r="A415" s="38" t="s">
        <v>153</v>
      </c>
      <c r="B415" s="18" t="s">
        <v>8</v>
      </c>
      <c r="C415" s="18" t="s">
        <v>129</v>
      </c>
      <c r="D415" s="18" t="s">
        <v>0</v>
      </c>
      <c r="E415" s="18" t="s">
        <v>405</v>
      </c>
      <c r="F415" s="18" t="s">
        <v>22</v>
      </c>
      <c r="G415" s="20">
        <f>94+34.5-40.5</f>
        <v>88</v>
      </c>
    </row>
    <row r="416" spans="1:7" s="2" customFormat="1" ht="51" customHeight="1" x14ac:dyDescent="0.25">
      <c r="A416" s="40" t="s">
        <v>296</v>
      </c>
      <c r="B416" s="18" t="s">
        <v>8</v>
      </c>
      <c r="C416" s="18" t="s">
        <v>129</v>
      </c>
      <c r="D416" s="18" t="s">
        <v>0</v>
      </c>
      <c r="E416" s="18" t="s">
        <v>404</v>
      </c>
      <c r="F416" s="18"/>
      <c r="G416" s="20">
        <f>SUM(G417:G418)</f>
        <v>9717.6</v>
      </c>
    </row>
    <row r="417" spans="1:7" s="2" customFormat="1" ht="52.2" customHeight="1" x14ac:dyDescent="0.25">
      <c r="A417" s="38" t="s">
        <v>150</v>
      </c>
      <c r="B417" s="18" t="s">
        <v>8</v>
      </c>
      <c r="C417" s="18" t="s">
        <v>129</v>
      </c>
      <c r="D417" s="18" t="s">
        <v>0</v>
      </c>
      <c r="E417" s="18" t="s">
        <v>404</v>
      </c>
      <c r="F417" s="18" t="s">
        <v>20</v>
      </c>
      <c r="G417" s="20">
        <v>8992.6</v>
      </c>
    </row>
    <row r="418" spans="1:7" s="2" customFormat="1" ht="31.2" customHeight="1" x14ac:dyDescent="0.25">
      <c r="A418" s="38" t="s">
        <v>153</v>
      </c>
      <c r="B418" s="18" t="s">
        <v>8</v>
      </c>
      <c r="C418" s="18" t="s">
        <v>129</v>
      </c>
      <c r="D418" s="18" t="s">
        <v>0</v>
      </c>
      <c r="E418" s="18" t="s">
        <v>404</v>
      </c>
      <c r="F418" s="18" t="s">
        <v>22</v>
      </c>
      <c r="G418" s="20">
        <v>725</v>
      </c>
    </row>
    <row r="419" spans="1:7" ht="31.2" x14ac:dyDescent="0.25">
      <c r="A419" s="40" t="s">
        <v>240</v>
      </c>
      <c r="B419" s="18" t="s">
        <v>8</v>
      </c>
      <c r="C419" s="18" t="s">
        <v>139</v>
      </c>
      <c r="D419" s="18"/>
      <c r="E419" s="18"/>
      <c r="F419" s="18"/>
      <c r="G419" s="20">
        <f>SUM(G420)</f>
        <v>7321.8</v>
      </c>
    </row>
    <row r="420" spans="1:7" ht="31.2" x14ac:dyDescent="0.25">
      <c r="A420" s="40" t="s">
        <v>124</v>
      </c>
      <c r="B420" s="18" t="s">
        <v>8</v>
      </c>
      <c r="C420" s="18" t="s">
        <v>139</v>
      </c>
      <c r="D420" s="18" t="s">
        <v>0</v>
      </c>
      <c r="E420" s="18"/>
      <c r="F420" s="18"/>
      <c r="G420" s="20">
        <f>SUM(G424+G421)</f>
        <v>7321.8</v>
      </c>
    </row>
    <row r="421" spans="1:7" ht="46.8" x14ac:dyDescent="0.25">
      <c r="A421" s="38" t="s">
        <v>342</v>
      </c>
      <c r="B421" s="18" t="s">
        <v>8</v>
      </c>
      <c r="C421" s="18" t="s">
        <v>139</v>
      </c>
      <c r="D421" s="18" t="s">
        <v>0</v>
      </c>
      <c r="E421" s="18" t="s">
        <v>288</v>
      </c>
      <c r="F421" s="18"/>
      <c r="G421" s="20">
        <f>G422+G423</f>
        <v>4426.8</v>
      </c>
    </row>
    <row r="422" spans="1:7" ht="31.2" x14ac:dyDescent="0.25">
      <c r="A422" s="38" t="s">
        <v>153</v>
      </c>
      <c r="B422" s="18" t="s">
        <v>8</v>
      </c>
      <c r="C422" s="18" t="s">
        <v>139</v>
      </c>
      <c r="D422" s="18" t="s">
        <v>0</v>
      </c>
      <c r="E422" s="18" t="s">
        <v>288</v>
      </c>
      <c r="F422" s="18" t="s">
        <v>22</v>
      </c>
      <c r="G422" s="20">
        <f>37.5+105+9.7</f>
        <v>152.19999999999999</v>
      </c>
    </row>
    <row r="423" spans="1:7" ht="31.2" x14ac:dyDescent="0.25">
      <c r="A423" s="38" t="s">
        <v>160</v>
      </c>
      <c r="B423" s="18" t="s">
        <v>8</v>
      </c>
      <c r="C423" s="18" t="s">
        <v>139</v>
      </c>
      <c r="D423" s="18" t="s">
        <v>0</v>
      </c>
      <c r="E423" s="18" t="s">
        <v>288</v>
      </c>
      <c r="F423" s="18" t="s">
        <v>149</v>
      </c>
      <c r="G423" s="20">
        <f>2260.3+1511+503.3</f>
        <v>4274.6000000000004</v>
      </c>
    </row>
    <row r="424" spans="1:7" ht="62.4" x14ac:dyDescent="0.25">
      <c r="A424" s="38" t="s">
        <v>323</v>
      </c>
      <c r="B424" s="18" t="s">
        <v>8</v>
      </c>
      <c r="C424" s="18" t="s">
        <v>139</v>
      </c>
      <c r="D424" s="18" t="s">
        <v>0</v>
      </c>
      <c r="E424" s="18" t="s">
        <v>324</v>
      </c>
      <c r="F424" s="18"/>
      <c r="G424" s="20">
        <f>SUM(G425:G426)</f>
        <v>2895</v>
      </c>
    </row>
    <row r="425" spans="1:7" s="2" customFormat="1" ht="51.6" customHeight="1" x14ac:dyDescent="0.25">
      <c r="A425" s="38" t="s">
        <v>152</v>
      </c>
      <c r="B425" s="18" t="s">
        <v>8</v>
      </c>
      <c r="C425" s="18" t="s">
        <v>139</v>
      </c>
      <c r="D425" s="18" t="s">
        <v>0</v>
      </c>
      <c r="E425" s="18" t="s">
        <v>324</v>
      </c>
      <c r="F425" s="18" t="s">
        <v>20</v>
      </c>
      <c r="G425" s="20">
        <f>44.9-1.9</f>
        <v>43</v>
      </c>
    </row>
    <row r="426" spans="1:7" s="2" customFormat="1" ht="30" customHeight="1" x14ac:dyDescent="0.25">
      <c r="A426" s="39" t="s">
        <v>154</v>
      </c>
      <c r="B426" s="18" t="s">
        <v>8</v>
      </c>
      <c r="C426" s="18" t="s">
        <v>139</v>
      </c>
      <c r="D426" s="18" t="s">
        <v>0</v>
      </c>
      <c r="E426" s="18" t="s">
        <v>324</v>
      </c>
      <c r="F426" s="18" t="s">
        <v>149</v>
      </c>
      <c r="G426" s="20">
        <f>2995.8-143.8</f>
        <v>2852</v>
      </c>
    </row>
    <row r="427" spans="1:7" s="2" customFormat="1" ht="23.4" customHeight="1" x14ac:dyDescent="0.25">
      <c r="A427" s="38" t="s">
        <v>343</v>
      </c>
      <c r="B427" s="18" t="s">
        <v>8</v>
      </c>
      <c r="C427" s="18" t="s">
        <v>90</v>
      </c>
      <c r="D427" s="18"/>
      <c r="E427" s="18"/>
      <c r="F427" s="18"/>
      <c r="G427" s="20">
        <f>G428</f>
        <v>509.2</v>
      </c>
    </row>
    <row r="428" spans="1:7" s="2" customFormat="1" ht="54.6" customHeight="1" x14ac:dyDescent="0.25">
      <c r="A428" s="38" t="s">
        <v>301</v>
      </c>
      <c r="B428" s="18" t="s">
        <v>8</v>
      </c>
      <c r="C428" s="18" t="s">
        <v>90</v>
      </c>
      <c r="D428" s="18" t="s">
        <v>0</v>
      </c>
      <c r="E428" s="18"/>
      <c r="F428" s="18"/>
      <c r="G428" s="20">
        <f>G429</f>
        <v>509.2</v>
      </c>
    </row>
    <row r="429" spans="1:7" s="2" customFormat="1" ht="51.6" customHeight="1" x14ac:dyDescent="0.25">
      <c r="A429" s="38" t="s">
        <v>344</v>
      </c>
      <c r="B429" s="18" t="s">
        <v>8</v>
      </c>
      <c r="C429" s="18" t="s">
        <v>90</v>
      </c>
      <c r="D429" s="18" t="s">
        <v>0</v>
      </c>
      <c r="E429" s="18" t="s">
        <v>300</v>
      </c>
      <c r="F429" s="18"/>
      <c r="G429" s="20">
        <f>G430+G431+G432</f>
        <v>509.2</v>
      </c>
    </row>
    <row r="430" spans="1:7" ht="31.2" x14ac:dyDescent="0.25">
      <c r="A430" s="38" t="s">
        <v>19</v>
      </c>
      <c r="B430" s="18" t="s">
        <v>8</v>
      </c>
      <c r="C430" s="18" t="s">
        <v>90</v>
      </c>
      <c r="D430" s="18" t="s">
        <v>0</v>
      </c>
      <c r="E430" s="18" t="s">
        <v>300</v>
      </c>
      <c r="F430" s="18" t="s">
        <v>20</v>
      </c>
      <c r="G430" s="20">
        <v>0</v>
      </c>
    </row>
    <row r="431" spans="1:7" ht="31.2" x14ac:dyDescent="0.25">
      <c r="A431" s="38" t="s">
        <v>153</v>
      </c>
      <c r="B431" s="18" t="s">
        <v>8</v>
      </c>
      <c r="C431" s="18" t="s">
        <v>90</v>
      </c>
      <c r="D431" s="18" t="s">
        <v>0</v>
      </c>
      <c r="E431" s="18" t="s">
        <v>300</v>
      </c>
      <c r="F431" s="18" t="s">
        <v>22</v>
      </c>
      <c r="G431" s="20">
        <f>250.2+169.8</f>
        <v>420</v>
      </c>
    </row>
    <row r="432" spans="1:7" ht="38.4" customHeight="1" x14ac:dyDescent="0.25">
      <c r="A432" s="38" t="s">
        <v>160</v>
      </c>
      <c r="B432" s="18" t="s">
        <v>8</v>
      </c>
      <c r="C432" s="18" t="s">
        <v>90</v>
      </c>
      <c r="D432" s="18" t="s">
        <v>0</v>
      </c>
      <c r="E432" s="18" t="s">
        <v>300</v>
      </c>
      <c r="F432" s="18" t="s">
        <v>149</v>
      </c>
      <c r="G432" s="20">
        <f>50+39.2</f>
        <v>89.2</v>
      </c>
    </row>
    <row r="433" spans="1:7" ht="34.950000000000003" customHeight="1" x14ac:dyDescent="0.25">
      <c r="A433" s="38" t="s">
        <v>505</v>
      </c>
      <c r="B433" s="18" t="s">
        <v>462</v>
      </c>
      <c r="C433" s="18"/>
      <c r="D433" s="18"/>
      <c r="E433" s="18"/>
      <c r="F433" s="18"/>
      <c r="G433" s="20">
        <f>SUM(G434)</f>
        <v>36840.399999999987</v>
      </c>
    </row>
    <row r="434" spans="1:7" s="2" customFormat="1" ht="50.4" customHeight="1" x14ac:dyDescent="0.25">
      <c r="A434" s="38" t="s">
        <v>506</v>
      </c>
      <c r="B434" s="18" t="s">
        <v>462</v>
      </c>
      <c r="C434" s="18" t="s">
        <v>81</v>
      </c>
      <c r="D434" s="18"/>
      <c r="E434" s="18"/>
      <c r="F434" s="18"/>
      <c r="G434" s="20">
        <f>SUM(G435)</f>
        <v>36840.399999999987</v>
      </c>
    </row>
    <row r="435" spans="1:7" s="2" customFormat="1" ht="36.6" customHeight="1" x14ac:dyDescent="0.25">
      <c r="A435" s="38" t="s">
        <v>422</v>
      </c>
      <c r="B435" s="18" t="s">
        <v>462</v>
      </c>
      <c r="C435" s="18" t="s">
        <v>81</v>
      </c>
      <c r="D435" s="18" t="s">
        <v>0</v>
      </c>
      <c r="E435" s="18"/>
      <c r="F435" s="18"/>
      <c r="G435" s="20">
        <f>SUM(G436+G440+G445+G447+G449+G442)</f>
        <v>36840.399999999987</v>
      </c>
    </row>
    <row r="436" spans="1:7" s="2" customFormat="1" ht="21" customHeight="1" x14ac:dyDescent="0.25">
      <c r="A436" s="38" t="s">
        <v>18</v>
      </c>
      <c r="B436" s="18" t="s">
        <v>462</v>
      </c>
      <c r="C436" s="18" t="s">
        <v>81</v>
      </c>
      <c r="D436" s="18" t="s">
        <v>0</v>
      </c>
      <c r="E436" s="18" t="s">
        <v>54</v>
      </c>
      <c r="F436" s="18"/>
      <c r="G436" s="20">
        <f>SUM(G437:G439)</f>
        <v>3359.7000000000003</v>
      </c>
    </row>
    <row r="437" spans="1:7" s="2" customFormat="1" ht="31.2" x14ac:dyDescent="0.25">
      <c r="A437" s="38" t="s">
        <v>19</v>
      </c>
      <c r="B437" s="18" t="s">
        <v>462</v>
      </c>
      <c r="C437" s="18" t="s">
        <v>81</v>
      </c>
      <c r="D437" s="18" t="s">
        <v>0</v>
      </c>
      <c r="E437" s="18" t="s">
        <v>54</v>
      </c>
      <c r="F437" s="18" t="s">
        <v>20</v>
      </c>
      <c r="G437" s="20">
        <f>3742.3+37.5-446.6</f>
        <v>3333.2000000000003</v>
      </c>
    </row>
    <row r="438" spans="1:7" s="2" customFormat="1" ht="36" customHeight="1" x14ac:dyDescent="0.25">
      <c r="A438" s="38" t="s">
        <v>153</v>
      </c>
      <c r="B438" s="18" t="s">
        <v>462</v>
      </c>
      <c r="C438" s="18" t="s">
        <v>81</v>
      </c>
      <c r="D438" s="18" t="s">
        <v>0</v>
      </c>
      <c r="E438" s="18" t="s">
        <v>54</v>
      </c>
      <c r="F438" s="18" t="s">
        <v>22</v>
      </c>
      <c r="G438" s="20">
        <f>135.9-109.4</f>
        <v>26.5</v>
      </c>
    </row>
    <row r="439" spans="1:7" s="2" customFormat="1" x14ac:dyDescent="0.25">
      <c r="A439" s="38" t="s">
        <v>24</v>
      </c>
      <c r="B439" s="18" t="s">
        <v>462</v>
      </c>
      <c r="C439" s="18" t="s">
        <v>81</v>
      </c>
      <c r="D439" s="18" t="s">
        <v>0</v>
      </c>
      <c r="E439" s="18" t="s">
        <v>54</v>
      </c>
      <c r="F439" s="18" t="s">
        <v>25</v>
      </c>
      <c r="G439" s="20">
        <f>8-8</f>
        <v>0</v>
      </c>
    </row>
    <row r="440" spans="1:7" s="2" customFormat="1" ht="46.8" x14ac:dyDescent="0.25">
      <c r="A440" s="38" t="s">
        <v>40</v>
      </c>
      <c r="B440" s="18" t="s">
        <v>462</v>
      </c>
      <c r="C440" s="18" t="s">
        <v>81</v>
      </c>
      <c r="D440" s="18" t="s">
        <v>0</v>
      </c>
      <c r="E440" s="18" t="s">
        <v>69</v>
      </c>
      <c r="F440" s="18"/>
      <c r="G440" s="20">
        <f>SUM(G441)</f>
        <v>32833.899999999994</v>
      </c>
    </row>
    <row r="441" spans="1:7" s="2" customFormat="1" ht="34.950000000000003" customHeight="1" x14ac:dyDescent="0.25">
      <c r="A441" s="38" t="s">
        <v>160</v>
      </c>
      <c r="B441" s="18" t="s">
        <v>462</v>
      </c>
      <c r="C441" s="18" t="s">
        <v>81</v>
      </c>
      <c r="D441" s="18" t="s">
        <v>0</v>
      </c>
      <c r="E441" s="18" t="s">
        <v>69</v>
      </c>
      <c r="F441" s="18" t="s">
        <v>149</v>
      </c>
      <c r="G441" s="20">
        <f>26497+146.5+4817.3+903.1+1963.4-378.3-378-737.1</f>
        <v>32833.899999999994</v>
      </c>
    </row>
    <row r="442" spans="1:7" s="2" customFormat="1" ht="62.4" x14ac:dyDescent="0.25">
      <c r="A442" s="38" t="s">
        <v>490</v>
      </c>
      <c r="B442" s="18" t="s">
        <v>462</v>
      </c>
      <c r="C442" s="18" t="s">
        <v>81</v>
      </c>
      <c r="D442" s="18" t="s">
        <v>0</v>
      </c>
      <c r="E442" s="18" t="s">
        <v>498</v>
      </c>
      <c r="F442" s="18"/>
      <c r="G442" s="20">
        <f>G443+G444</f>
        <v>517.20000000000005</v>
      </c>
    </row>
    <row r="443" spans="1:7" s="2" customFormat="1" ht="36.6" customHeight="1" x14ac:dyDescent="0.25">
      <c r="A443" s="38" t="s">
        <v>19</v>
      </c>
      <c r="B443" s="18" t="s">
        <v>462</v>
      </c>
      <c r="C443" s="18" t="s">
        <v>81</v>
      </c>
      <c r="D443" s="18" t="s">
        <v>0</v>
      </c>
      <c r="E443" s="18" t="s">
        <v>498</v>
      </c>
      <c r="F443" s="18" t="s">
        <v>20</v>
      </c>
      <c r="G443" s="20">
        <v>511.6</v>
      </c>
    </row>
    <row r="444" spans="1:7" s="2" customFormat="1" ht="31.2" x14ac:dyDescent="0.25">
      <c r="A444" s="38" t="s">
        <v>153</v>
      </c>
      <c r="B444" s="18" t="s">
        <v>462</v>
      </c>
      <c r="C444" s="18" t="s">
        <v>81</v>
      </c>
      <c r="D444" s="18" t="s">
        <v>0</v>
      </c>
      <c r="E444" s="18" t="s">
        <v>498</v>
      </c>
      <c r="F444" s="18" t="s">
        <v>22</v>
      </c>
      <c r="G444" s="20">
        <v>5.6</v>
      </c>
    </row>
    <row r="445" spans="1:7" s="2" customFormat="1" x14ac:dyDescent="0.25">
      <c r="A445" s="38" t="s">
        <v>374</v>
      </c>
      <c r="B445" s="18" t="s">
        <v>462</v>
      </c>
      <c r="C445" s="18" t="s">
        <v>81</v>
      </c>
      <c r="D445" s="18" t="s">
        <v>0</v>
      </c>
      <c r="E445" s="18" t="s">
        <v>375</v>
      </c>
      <c r="F445" s="18"/>
      <c r="G445" s="20">
        <f>SUM(G446)</f>
        <v>13.500000000000002</v>
      </c>
    </row>
    <row r="446" spans="1:7" s="2" customFormat="1" ht="34.200000000000003" customHeight="1" x14ac:dyDescent="0.25">
      <c r="A446" s="38" t="s">
        <v>153</v>
      </c>
      <c r="B446" s="18" t="s">
        <v>462</v>
      </c>
      <c r="C446" s="18" t="s">
        <v>81</v>
      </c>
      <c r="D446" s="18" t="s">
        <v>0</v>
      </c>
      <c r="E446" s="18" t="s">
        <v>375</v>
      </c>
      <c r="F446" s="18" t="s">
        <v>22</v>
      </c>
      <c r="G446" s="20">
        <f>16.6-3.1</f>
        <v>13.500000000000002</v>
      </c>
    </row>
    <row r="447" spans="1:7" s="2" customFormat="1" ht="19.2" customHeight="1" x14ac:dyDescent="0.25">
      <c r="A447" s="38" t="s">
        <v>380</v>
      </c>
      <c r="B447" s="18" t="s">
        <v>462</v>
      </c>
      <c r="C447" s="18" t="s">
        <v>81</v>
      </c>
      <c r="D447" s="18" t="s">
        <v>0</v>
      </c>
      <c r="E447" s="18" t="s">
        <v>381</v>
      </c>
      <c r="F447" s="18"/>
      <c r="G447" s="20">
        <f>SUM(G448)</f>
        <v>9.5000000000000018</v>
      </c>
    </row>
    <row r="448" spans="1:7" s="2" customFormat="1" ht="37.200000000000003" customHeight="1" x14ac:dyDescent="0.25">
      <c r="A448" s="38" t="s">
        <v>153</v>
      </c>
      <c r="B448" s="18" t="s">
        <v>462</v>
      </c>
      <c r="C448" s="18" t="s">
        <v>81</v>
      </c>
      <c r="D448" s="18" t="s">
        <v>0</v>
      </c>
      <c r="E448" s="18" t="s">
        <v>381</v>
      </c>
      <c r="F448" s="18" t="s">
        <v>22</v>
      </c>
      <c r="G448" s="20">
        <f>25.1-15.6</f>
        <v>9.5000000000000018</v>
      </c>
    </row>
    <row r="449" spans="1:7" s="2" customFormat="1" ht="31.2" x14ac:dyDescent="0.25">
      <c r="A449" s="38" t="s">
        <v>378</v>
      </c>
      <c r="B449" s="18" t="s">
        <v>462</v>
      </c>
      <c r="C449" s="18" t="s">
        <v>81</v>
      </c>
      <c r="D449" s="18" t="s">
        <v>0</v>
      </c>
      <c r="E449" s="18" t="s">
        <v>379</v>
      </c>
      <c r="F449" s="18"/>
      <c r="G449" s="20">
        <f>SUM(G450)</f>
        <v>106.6</v>
      </c>
    </row>
    <row r="450" spans="1:7" s="2" customFormat="1" ht="31.2" x14ac:dyDescent="0.25">
      <c r="A450" s="38" t="s">
        <v>153</v>
      </c>
      <c r="B450" s="18" t="s">
        <v>462</v>
      </c>
      <c r="C450" s="18" t="s">
        <v>81</v>
      </c>
      <c r="D450" s="18" t="s">
        <v>0</v>
      </c>
      <c r="E450" s="18" t="s">
        <v>379</v>
      </c>
      <c r="F450" s="18" t="s">
        <v>22</v>
      </c>
      <c r="G450" s="20">
        <f>116-9.4</f>
        <v>106.6</v>
      </c>
    </row>
    <row r="451" spans="1:7" s="2" customFormat="1" ht="39.6" customHeight="1" x14ac:dyDescent="0.25">
      <c r="A451" s="38" t="s">
        <v>241</v>
      </c>
      <c r="B451" s="18" t="s">
        <v>165</v>
      </c>
      <c r="C451" s="18"/>
      <c r="D451" s="18"/>
      <c r="E451" s="18"/>
      <c r="F451" s="18"/>
      <c r="G451" s="20">
        <f>SUM(G452+G456+G461)</f>
        <v>16184.2</v>
      </c>
    </row>
    <row r="452" spans="1:7" s="2" customFormat="1" ht="38.4" customHeight="1" x14ac:dyDescent="0.25">
      <c r="A452" s="38" t="s">
        <v>430</v>
      </c>
      <c r="B452" s="18" t="s">
        <v>165</v>
      </c>
      <c r="C452" s="18" t="s">
        <v>81</v>
      </c>
      <c r="D452" s="18"/>
      <c r="E452" s="18"/>
      <c r="F452" s="18"/>
      <c r="G452" s="20">
        <f>G453</f>
        <v>385.79999999999995</v>
      </c>
    </row>
    <row r="453" spans="1:7" s="2" customFormat="1" ht="48" customHeight="1" x14ac:dyDescent="0.25">
      <c r="A453" s="38" t="s">
        <v>431</v>
      </c>
      <c r="B453" s="18" t="s">
        <v>165</v>
      </c>
      <c r="C453" s="18" t="s">
        <v>81</v>
      </c>
      <c r="D453" s="18" t="s">
        <v>0</v>
      </c>
      <c r="E453" s="18"/>
      <c r="F453" s="18"/>
      <c r="G453" s="20">
        <f>G454</f>
        <v>385.79999999999995</v>
      </c>
    </row>
    <row r="454" spans="1:7" s="2" customFormat="1" ht="62.4" x14ac:dyDescent="0.25">
      <c r="A454" s="38" t="s">
        <v>432</v>
      </c>
      <c r="B454" s="18" t="s">
        <v>165</v>
      </c>
      <c r="C454" s="18" t="s">
        <v>81</v>
      </c>
      <c r="D454" s="18" t="s">
        <v>0</v>
      </c>
      <c r="E454" s="18" t="s">
        <v>429</v>
      </c>
      <c r="F454" s="18"/>
      <c r="G454" s="20">
        <f>G455</f>
        <v>385.79999999999995</v>
      </c>
    </row>
    <row r="455" spans="1:7" s="2" customFormat="1" ht="31.2" x14ac:dyDescent="0.25">
      <c r="A455" s="38" t="s">
        <v>153</v>
      </c>
      <c r="B455" s="18" t="s">
        <v>165</v>
      </c>
      <c r="C455" s="18" t="s">
        <v>81</v>
      </c>
      <c r="D455" s="18" t="s">
        <v>0</v>
      </c>
      <c r="E455" s="18" t="s">
        <v>429</v>
      </c>
      <c r="F455" s="18" t="s">
        <v>22</v>
      </c>
      <c r="G455" s="20">
        <f>73+300+70+40+40+70+30+62.8-300</f>
        <v>385.79999999999995</v>
      </c>
    </row>
    <row r="456" spans="1:7" s="2" customFormat="1" ht="31.2" x14ac:dyDescent="0.25">
      <c r="A456" s="38" t="s">
        <v>202</v>
      </c>
      <c r="B456" s="18" t="s">
        <v>165</v>
      </c>
      <c r="C456" s="18" t="s">
        <v>129</v>
      </c>
      <c r="D456" s="18"/>
      <c r="E456" s="18"/>
      <c r="F456" s="18"/>
      <c r="G456" s="20">
        <f>SUM(G457)</f>
        <v>7085.4000000000015</v>
      </c>
    </row>
    <row r="457" spans="1:7" s="2" customFormat="1" ht="78" x14ac:dyDescent="0.25">
      <c r="A457" s="49" t="s">
        <v>203</v>
      </c>
      <c r="B457" s="18" t="s">
        <v>165</v>
      </c>
      <c r="C457" s="18" t="s">
        <v>129</v>
      </c>
      <c r="D457" s="18" t="s">
        <v>0</v>
      </c>
      <c r="E457" s="18"/>
      <c r="F457" s="18"/>
      <c r="G457" s="20">
        <f>SUM(G458)</f>
        <v>7085.4000000000015</v>
      </c>
    </row>
    <row r="458" spans="1:7" s="2" customFormat="1" ht="62.4" x14ac:dyDescent="0.25">
      <c r="A458" s="38" t="s">
        <v>242</v>
      </c>
      <c r="B458" s="18" t="s">
        <v>165</v>
      </c>
      <c r="C458" s="18" t="s">
        <v>129</v>
      </c>
      <c r="D458" s="18" t="s">
        <v>0</v>
      </c>
      <c r="E458" s="18" t="s">
        <v>180</v>
      </c>
      <c r="F458" s="18"/>
      <c r="G458" s="20">
        <f>SUM(G459:G460)</f>
        <v>7085.4000000000015</v>
      </c>
    </row>
    <row r="459" spans="1:7" s="2" customFormat="1" ht="31.2" x14ac:dyDescent="0.25">
      <c r="A459" s="38" t="s">
        <v>153</v>
      </c>
      <c r="B459" s="18" t="s">
        <v>165</v>
      </c>
      <c r="C459" s="18" t="s">
        <v>129</v>
      </c>
      <c r="D459" s="18" t="s">
        <v>0</v>
      </c>
      <c r="E459" s="18" t="s">
        <v>180</v>
      </c>
      <c r="F459" s="18" t="s">
        <v>22</v>
      </c>
      <c r="G459" s="20">
        <f>2301+2868.8+256+547.6+2160.5+1521+426.5+245.3-68-11.5-62.8-170-34.5-10.5-2337.4-726.8+55.7-93+93</f>
        <v>6960.9000000000015</v>
      </c>
    </row>
    <row r="460" spans="1:7" s="2" customFormat="1" x14ac:dyDescent="0.25">
      <c r="A460" s="38" t="s">
        <v>155</v>
      </c>
      <c r="B460" s="18" t="s">
        <v>165</v>
      </c>
      <c r="C460" s="18" t="s">
        <v>129</v>
      </c>
      <c r="D460" s="18" t="s">
        <v>0</v>
      </c>
      <c r="E460" s="18" t="s">
        <v>180</v>
      </c>
      <c r="F460" s="18" t="s">
        <v>147</v>
      </c>
      <c r="G460" s="20">
        <f>68+11.5+34.5+10.5</f>
        <v>124.5</v>
      </c>
    </row>
    <row r="461" spans="1:7" s="2" customFormat="1" ht="46.8" x14ac:dyDescent="0.25">
      <c r="A461" s="38" t="s">
        <v>166</v>
      </c>
      <c r="B461" s="18" t="s">
        <v>165</v>
      </c>
      <c r="C461" s="18" t="s">
        <v>139</v>
      </c>
      <c r="D461" s="18"/>
      <c r="E461" s="18"/>
      <c r="F461" s="18"/>
      <c r="G461" s="20">
        <f>G462</f>
        <v>8713</v>
      </c>
    </row>
    <row r="462" spans="1:7" s="2" customFormat="1" ht="31.2" x14ac:dyDescent="0.25">
      <c r="A462" s="38" t="s">
        <v>167</v>
      </c>
      <c r="B462" s="18" t="s">
        <v>165</v>
      </c>
      <c r="C462" s="18" t="s">
        <v>139</v>
      </c>
      <c r="D462" s="18" t="s">
        <v>0</v>
      </c>
      <c r="E462" s="18"/>
      <c r="F462" s="18"/>
      <c r="G462" s="20">
        <f>G463</f>
        <v>8713</v>
      </c>
    </row>
    <row r="463" spans="1:7" s="2" customFormat="1" ht="78" x14ac:dyDescent="0.25">
      <c r="A463" s="38" t="s">
        <v>354</v>
      </c>
      <c r="B463" s="18" t="s">
        <v>165</v>
      </c>
      <c r="C463" s="18" t="s">
        <v>139</v>
      </c>
      <c r="D463" s="18" t="s">
        <v>0</v>
      </c>
      <c r="E463" s="18" t="s">
        <v>168</v>
      </c>
      <c r="F463" s="18"/>
      <c r="G463" s="20">
        <f>G464</f>
        <v>8713</v>
      </c>
    </row>
    <row r="464" spans="1:7" s="2" customFormat="1" ht="31.2" x14ac:dyDescent="0.25">
      <c r="A464" s="39" t="s">
        <v>160</v>
      </c>
      <c r="B464" s="18" t="s">
        <v>165</v>
      </c>
      <c r="C464" s="18" t="s">
        <v>139</v>
      </c>
      <c r="D464" s="18" t="s">
        <v>0</v>
      </c>
      <c r="E464" s="18" t="s">
        <v>168</v>
      </c>
      <c r="F464" s="18" t="s">
        <v>149</v>
      </c>
      <c r="G464" s="20">
        <f>7591+912+210</f>
        <v>8713</v>
      </c>
    </row>
    <row r="465" spans="1:7" s="2" customFormat="1" ht="31.2" x14ac:dyDescent="0.25">
      <c r="A465" s="37" t="s">
        <v>243</v>
      </c>
      <c r="B465" s="18" t="s">
        <v>17</v>
      </c>
      <c r="C465" s="18"/>
      <c r="D465" s="18"/>
      <c r="E465" s="18"/>
      <c r="F465" s="19"/>
      <c r="G465" s="20">
        <f>SUM(G466+G536+G504+G519+G540)</f>
        <v>220256.80000000002</v>
      </c>
    </row>
    <row r="466" spans="1:7" s="2" customFormat="1" ht="31.2" x14ac:dyDescent="0.25">
      <c r="A466" s="37" t="s">
        <v>244</v>
      </c>
      <c r="B466" s="18" t="s">
        <v>17</v>
      </c>
      <c r="C466" s="18" t="s">
        <v>81</v>
      </c>
      <c r="D466" s="18"/>
      <c r="E466" s="18"/>
      <c r="F466" s="19"/>
      <c r="G466" s="20">
        <f>SUM(G467+G489)</f>
        <v>49001.5</v>
      </c>
    </row>
    <row r="467" spans="1:7" s="2" customFormat="1" ht="31.2" x14ac:dyDescent="0.25">
      <c r="A467" s="40" t="s">
        <v>140</v>
      </c>
      <c r="B467" s="18" t="s">
        <v>17</v>
      </c>
      <c r="C467" s="18" t="s">
        <v>81</v>
      </c>
      <c r="D467" s="18" t="s">
        <v>0</v>
      </c>
      <c r="E467" s="18"/>
      <c r="F467" s="19"/>
      <c r="G467" s="20">
        <f>SUM(G472+G476+G480+G468+G482+G485+G487)</f>
        <v>45138.9</v>
      </c>
    </row>
    <row r="468" spans="1:7" s="2" customFormat="1" ht="46.8" x14ac:dyDescent="0.25">
      <c r="A468" s="40" t="s">
        <v>40</v>
      </c>
      <c r="B468" s="18" t="s">
        <v>17</v>
      </c>
      <c r="C468" s="18" t="s">
        <v>81</v>
      </c>
      <c r="D468" s="18" t="s">
        <v>0</v>
      </c>
      <c r="E468" s="18" t="s">
        <v>69</v>
      </c>
      <c r="F468" s="19"/>
      <c r="G468" s="20">
        <f>SUM(G469:G471)</f>
        <v>9291.0000000000018</v>
      </c>
    </row>
    <row r="469" spans="1:7" s="2" customFormat="1" ht="31.2" x14ac:dyDescent="0.25">
      <c r="A469" s="38" t="s">
        <v>19</v>
      </c>
      <c r="B469" s="18" t="s">
        <v>17</v>
      </c>
      <c r="C469" s="18" t="s">
        <v>81</v>
      </c>
      <c r="D469" s="18" t="s">
        <v>0</v>
      </c>
      <c r="E469" s="18" t="s">
        <v>69</v>
      </c>
      <c r="F469" s="19" t="s">
        <v>20</v>
      </c>
      <c r="G469" s="20">
        <f>7354.3+73.5+0.1+43.9</f>
        <v>7471.8</v>
      </c>
    </row>
    <row r="470" spans="1:7" s="2" customFormat="1" ht="31.2" x14ac:dyDescent="0.25">
      <c r="A470" s="38" t="s">
        <v>153</v>
      </c>
      <c r="B470" s="18" t="s">
        <v>17</v>
      </c>
      <c r="C470" s="18" t="s">
        <v>81</v>
      </c>
      <c r="D470" s="18" t="s">
        <v>0</v>
      </c>
      <c r="E470" s="18" t="s">
        <v>69</v>
      </c>
      <c r="F470" s="19" t="s">
        <v>22</v>
      </c>
      <c r="G470" s="20">
        <f>1277.2+611.6+100-188.8-28</f>
        <v>1772.0000000000002</v>
      </c>
    </row>
    <row r="471" spans="1:7" s="2" customFormat="1" x14ac:dyDescent="0.25">
      <c r="A471" s="38" t="s">
        <v>24</v>
      </c>
      <c r="B471" s="18" t="s">
        <v>17</v>
      </c>
      <c r="C471" s="18" t="s">
        <v>81</v>
      </c>
      <c r="D471" s="18" t="s">
        <v>0</v>
      </c>
      <c r="E471" s="18" t="s">
        <v>69</v>
      </c>
      <c r="F471" s="19" t="s">
        <v>25</v>
      </c>
      <c r="G471" s="20">
        <f>63.1-15.9</f>
        <v>47.2</v>
      </c>
    </row>
    <row r="472" spans="1:7" s="2" customFormat="1" ht="71.400000000000006" customHeight="1" x14ac:dyDescent="0.25">
      <c r="A472" s="40" t="s">
        <v>48</v>
      </c>
      <c r="B472" s="18" t="s">
        <v>17</v>
      </c>
      <c r="C472" s="18" t="s">
        <v>81</v>
      </c>
      <c r="D472" s="18" t="s">
        <v>0</v>
      </c>
      <c r="E472" s="18" t="s">
        <v>107</v>
      </c>
      <c r="F472" s="19"/>
      <c r="G472" s="20">
        <f>SUM(G473:G475)</f>
        <v>18388.7</v>
      </c>
    </row>
    <row r="473" spans="1:7" s="2" customFormat="1" ht="31.2" x14ac:dyDescent="0.25">
      <c r="A473" s="38" t="s">
        <v>19</v>
      </c>
      <c r="B473" s="18" t="s">
        <v>17</v>
      </c>
      <c r="C473" s="18" t="s">
        <v>81</v>
      </c>
      <c r="D473" s="18" t="s">
        <v>0</v>
      </c>
      <c r="E473" s="18" t="s">
        <v>107</v>
      </c>
      <c r="F473" s="19" t="s">
        <v>20</v>
      </c>
      <c r="G473" s="20">
        <f>15423.5+154.2+0.1+73.9</f>
        <v>15651.7</v>
      </c>
    </row>
    <row r="474" spans="1:7" s="2" customFormat="1" ht="31.2" x14ac:dyDescent="0.25">
      <c r="A474" s="38" t="s">
        <v>153</v>
      </c>
      <c r="B474" s="18" t="s">
        <v>17</v>
      </c>
      <c r="C474" s="18" t="s">
        <v>81</v>
      </c>
      <c r="D474" s="18" t="s">
        <v>0</v>
      </c>
      <c r="E474" s="18" t="s">
        <v>107</v>
      </c>
      <c r="F474" s="19" t="s">
        <v>22</v>
      </c>
      <c r="G474" s="20">
        <f>2678.5-73.2</f>
        <v>2605.3000000000002</v>
      </c>
    </row>
    <row r="475" spans="1:7" s="2" customFormat="1" x14ac:dyDescent="0.25">
      <c r="A475" s="38" t="s">
        <v>24</v>
      </c>
      <c r="B475" s="18" t="s">
        <v>17</v>
      </c>
      <c r="C475" s="18" t="s">
        <v>81</v>
      </c>
      <c r="D475" s="18" t="s">
        <v>0</v>
      </c>
      <c r="E475" s="18" t="s">
        <v>107</v>
      </c>
      <c r="F475" s="19" t="s">
        <v>25</v>
      </c>
      <c r="G475" s="20">
        <f>132.4-0.7</f>
        <v>131.70000000000002</v>
      </c>
    </row>
    <row r="476" spans="1:7" s="2" customFormat="1" ht="60.6" customHeight="1" x14ac:dyDescent="0.25">
      <c r="A476" s="40" t="s">
        <v>47</v>
      </c>
      <c r="B476" s="18" t="s">
        <v>17</v>
      </c>
      <c r="C476" s="18" t="s">
        <v>81</v>
      </c>
      <c r="D476" s="18" t="s">
        <v>0</v>
      </c>
      <c r="E476" s="18" t="s">
        <v>108</v>
      </c>
      <c r="F476" s="19"/>
      <c r="G476" s="20">
        <f>SUM(G477:G479)</f>
        <v>7272.6</v>
      </c>
    </row>
    <row r="477" spans="1:7" s="2" customFormat="1" ht="31.2" x14ac:dyDescent="0.25">
      <c r="A477" s="38" t="s">
        <v>19</v>
      </c>
      <c r="B477" s="18" t="s">
        <v>17</v>
      </c>
      <c r="C477" s="18" t="s">
        <v>81</v>
      </c>
      <c r="D477" s="18" t="s">
        <v>0</v>
      </c>
      <c r="E477" s="18" t="s">
        <v>108</v>
      </c>
      <c r="F477" s="19" t="s">
        <v>20</v>
      </c>
      <c r="G477" s="20">
        <f>5510.9+54.8+102.6+219.6</f>
        <v>5887.9000000000005</v>
      </c>
    </row>
    <row r="478" spans="1:7" s="2" customFormat="1" ht="31.2" x14ac:dyDescent="0.25">
      <c r="A478" s="38" t="s">
        <v>153</v>
      </c>
      <c r="B478" s="18" t="s">
        <v>17</v>
      </c>
      <c r="C478" s="18" t="s">
        <v>81</v>
      </c>
      <c r="D478" s="18" t="s">
        <v>0</v>
      </c>
      <c r="E478" s="18" t="s">
        <v>108</v>
      </c>
      <c r="F478" s="19" t="s">
        <v>22</v>
      </c>
      <c r="G478" s="20">
        <f>1470.1-219.6</f>
        <v>1250.5</v>
      </c>
    </row>
    <row r="479" spans="1:7" s="2" customFormat="1" x14ac:dyDescent="0.25">
      <c r="A479" s="38" t="s">
        <v>24</v>
      </c>
      <c r="B479" s="18" t="s">
        <v>17</v>
      </c>
      <c r="C479" s="18" t="s">
        <v>81</v>
      </c>
      <c r="D479" s="18" t="s">
        <v>0</v>
      </c>
      <c r="E479" s="18" t="s">
        <v>108</v>
      </c>
      <c r="F479" s="19" t="s">
        <v>25</v>
      </c>
      <c r="G479" s="20">
        <v>134.19999999999999</v>
      </c>
    </row>
    <row r="480" spans="1:7" s="2" customFormat="1" ht="49.95" customHeight="1" x14ac:dyDescent="0.25">
      <c r="A480" s="40" t="s">
        <v>423</v>
      </c>
      <c r="B480" s="18" t="s">
        <v>17</v>
      </c>
      <c r="C480" s="18" t="s">
        <v>81</v>
      </c>
      <c r="D480" s="18" t="s">
        <v>0</v>
      </c>
      <c r="E480" s="18" t="s">
        <v>109</v>
      </c>
      <c r="F480" s="19"/>
      <c r="G480" s="20">
        <f>SUM(G481:G481)</f>
        <v>1278.5</v>
      </c>
    </row>
    <row r="481" spans="1:7" s="2" customFormat="1" ht="32.4" customHeight="1" x14ac:dyDescent="0.25">
      <c r="A481" s="38" t="s">
        <v>153</v>
      </c>
      <c r="B481" s="18" t="s">
        <v>17</v>
      </c>
      <c r="C481" s="18" t="s">
        <v>81</v>
      </c>
      <c r="D481" s="18" t="s">
        <v>0</v>
      </c>
      <c r="E481" s="18" t="s">
        <v>109</v>
      </c>
      <c r="F481" s="19" t="s">
        <v>22</v>
      </c>
      <c r="G481" s="20">
        <f>1308.5-30</f>
        <v>1278.5</v>
      </c>
    </row>
    <row r="482" spans="1:7" s="2" customFormat="1" ht="64.5" customHeight="1" x14ac:dyDescent="0.3">
      <c r="A482" s="50" t="s">
        <v>444</v>
      </c>
      <c r="B482" s="18" t="s">
        <v>17</v>
      </c>
      <c r="C482" s="18" t="s">
        <v>81</v>
      </c>
      <c r="D482" s="18" t="s">
        <v>0</v>
      </c>
      <c r="E482" s="18" t="s">
        <v>176</v>
      </c>
      <c r="F482" s="19"/>
      <c r="G482" s="20">
        <f>G483+G484</f>
        <v>8908.1</v>
      </c>
    </row>
    <row r="483" spans="1:7" s="2" customFormat="1" ht="30.6" customHeight="1" x14ac:dyDescent="0.25">
      <c r="A483" s="38" t="s">
        <v>153</v>
      </c>
      <c r="B483" s="18" t="s">
        <v>17</v>
      </c>
      <c r="C483" s="18" t="s">
        <v>81</v>
      </c>
      <c r="D483" s="18" t="s">
        <v>0</v>
      </c>
      <c r="E483" s="18" t="s">
        <v>176</v>
      </c>
      <c r="F483" s="19" t="s">
        <v>22</v>
      </c>
      <c r="G483" s="20">
        <f>6953.6-4134.1+458</f>
        <v>3277.5</v>
      </c>
    </row>
    <row r="484" spans="1:7" s="2" customFormat="1" ht="16.2" customHeight="1" x14ac:dyDescent="0.25">
      <c r="A484" s="38" t="s">
        <v>9</v>
      </c>
      <c r="B484" s="18" t="s">
        <v>17</v>
      </c>
      <c r="C484" s="18" t="s">
        <v>81</v>
      </c>
      <c r="D484" s="18" t="s">
        <v>0</v>
      </c>
      <c r="E484" s="18" t="s">
        <v>176</v>
      </c>
      <c r="F484" s="19" t="s">
        <v>31</v>
      </c>
      <c r="G484" s="20">
        <f>4999.6+616+15</f>
        <v>5630.6</v>
      </c>
    </row>
    <row r="485" spans="1:7" s="2" customFormat="1" x14ac:dyDescent="0.25">
      <c r="A485" s="38" t="s">
        <v>333</v>
      </c>
      <c r="B485" s="18" t="s">
        <v>17</v>
      </c>
      <c r="C485" s="18" t="s">
        <v>81</v>
      </c>
      <c r="D485" s="18" t="s">
        <v>0</v>
      </c>
      <c r="E485" s="18" t="s">
        <v>334</v>
      </c>
      <c r="F485" s="19"/>
      <c r="G485" s="20">
        <f>SUM(G486)</f>
        <v>0</v>
      </c>
    </row>
    <row r="486" spans="1:7" s="2" customFormat="1" ht="32.25" customHeight="1" x14ac:dyDescent="0.25">
      <c r="A486" s="38" t="s">
        <v>19</v>
      </c>
      <c r="B486" s="18" t="s">
        <v>17</v>
      </c>
      <c r="C486" s="18" t="s">
        <v>81</v>
      </c>
      <c r="D486" s="18" t="s">
        <v>0</v>
      </c>
      <c r="E486" s="18" t="s">
        <v>334</v>
      </c>
      <c r="F486" s="19" t="s">
        <v>20</v>
      </c>
      <c r="G486" s="20"/>
    </row>
    <row r="487" spans="1:7" s="2" customFormat="1" ht="28.95" customHeight="1" x14ac:dyDescent="0.25">
      <c r="A487" s="38" t="s">
        <v>442</v>
      </c>
      <c r="B487" s="19" t="s">
        <v>17</v>
      </c>
      <c r="C487" s="21">
        <v>1</v>
      </c>
      <c r="D487" s="19" t="s">
        <v>0</v>
      </c>
      <c r="E487" s="19" t="s">
        <v>441</v>
      </c>
      <c r="F487" s="19"/>
      <c r="G487" s="20">
        <f>G488</f>
        <v>0</v>
      </c>
    </row>
    <row r="488" spans="1:7" s="2" customFormat="1" ht="31.2" x14ac:dyDescent="0.25">
      <c r="A488" s="38" t="s">
        <v>153</v>
      </c>
      <c r="B488" s="19" t="s">
        <v>17</v>
      </c>
      <c r="C488" s="21">
        <v>1</v>
      </c>
      <c r="D488" s="19" t="s">
        <v>0</v>
      </c>
      <c r="E488" s="19" t="s">
        <v>441</v>
      </c>
      <c r="F488" s="19" t="s">
        <v>22</v>
      </c>
      <c r="G488" s="20">
        <f>883.2+1036.8-1920</f>
        <v>0</v>
      </c>
    </row>
    <row r="489" spans="1:7" s="2" customFormat="1" ht="31.2" x14ac:dyDescent="0.25">
      <c r="A489" s="37" t="s">
        <v>110</v>
      </c>
      <c r="B489" s="18" t="s">
        <v>17</v>
      </c>
      <c r="C489" s="18" t="s">
        <v>81</v>
      </c>
      <c r="D489" s="18" t="s">
        <v>1</v>
      </c>
      <c r="E489" s="18"/>
      <c r="F489" s="19"/>
      <c r="G489" s="20">
        <f>SUM(G490+G502+G494+G498+G496+G500)</f>
        <v>3862.6000000000004</v>
      </c>
    </row>
    <row r="490" spans="1:7" s="2" customFormat="1" x14ac:dyDescent="0.25">
      <c r="A490" s="37" t="s">
        <v>35</v>
      </c>
      <c r="B490" s="18" t="s">
        <v>17</v>
      </c>
      <c r="C490" s="18" t="s">
        <v>81</v>
      </c>
      <c r="D490" s="18" t="s">
        <v>1</v>
      </c>
      <c r="E490" s="18" t="s">
        <v>54</v>
      </c>
      <c r="F490" s="19"/>
      <c r="G490" s="20">
        <f>SUM(G491:G493)</f>
        <v>3570.4</v>
      </c>
    </row>
    <row r="491" spans="1:7" s="2" customFormat="1" ht="31.2" x14ac:dyDescent="0.25">
      <c r="A491" s="38" t="s">
        <v>19</v>
      </c>
      <c r="B491" s="18" t="s">
        <v>17</v>
      </c>
      <c r="C491" s="18" t="s">
        <v>81</v>
      </c>
      <c r="D491" s="18" t="s">
        <v>1</v>
      </c>
      <c r="E491" s="18" t="s">
        <v>54</v>
      </c>
      <c r="F491" s="19" t="s">
        <v>20</v>
      </c>
      <c r="G491" s="20">
        <f>2881.4+28.7+440.4+50.8</f>
        <v>3401.3</v>
      </c>
    </row>
    <row r="492" spans="1:7" s="2" customFormat="1" ht="36.6" customHeight="1" x14ac:dyDescent="0.25">
      <c r="A492" s="38" t="s">
        <v>153</v>
      </c>
      <c r="B492" s="18" t="s">
        <v>17</v>
      </c>
      <c r="C492" s="18" t="s">
        <v>81</v>
      </c>
      <c r="D492" s="18" t="s">
        <v>1</v>
      </c>
      <c r="E492" s="18" t="s">
        <v>54</v>
      </c>
      <c r="F492" s="19" t="s">
        <v>22</v>
      </c>
      <c r="G492" s="20">
        <f>167.6-0.5</f>
        <v>167.1</v>
      </c>
    </row>
    <row r="493" spans="1:7" s="2" customFormat="1" ht="24" customHeight="1" x14ac:dyDescent="0.25">
      <c r="A493" s="38" t="s">
        <v>24</v>
      </c>
      <c r="B493" s="18" t="s">
        <v>17</v>
      </c>
      <c r="C493" s="18" t="s">
        <v>81</v>
      </c>
      <c r="D493" s="18" t="s">
        <v>1</v>
      </c>
      <c r="E493" s="18" t="s">
        <v>54</v>
      </c>
      <c r="F493" s="19" t="s">
        <v>25</v>
      </c>
      <c r="G493" s="20">
        <v>2</v>
      </c>
    </row>
    <row r="494" spans="1:7" s="2" customFormat="1" x14ac:dyDescent="0.25">
      <c r="A494" s="38" t="s">
        <v>374</v>
      </c>
      <c r="B494" s="18" t="s">
        <v>17</v>
      </c>
      <c r="C494" s="32">
        <v>1</v>
      </c>
      <c r="D494" s="18" t="s">
        <v>1</v>
      </c>
      <c r="E494" s="18" t="s">
        <v>375</v>
      </c>
      <c r="F494" s="18"/>
      <c r="G494" s="20">
        <f>SUM(G495)</f>
        <v>7.2999999999999989</v>
      </c>
    </row>
    <row r="495" spans="1:7" s="2" customFormat="1" ht="33.6" customHeight="1" x14ac:dyDescent="0.25">
      <c r="A495" s="38" t="s">
        <v>153</v>
      </c>
      <c r="B495" s="18" t="s">
        <v>17</v>
      </c>
      <c r="C495" s="32">
        <v>1</v>
      </c>
      <c r="D495" s="18" t="s">
        <v>1</v>
      </c>
      <c r="E495" s="18" t="s">
        <v>375</v>
      </c>
      <c r="F495" s="18" t="s">
        <v>22</v>
      </c>
      <c r="G495" s="20">
        <f>10.2-2.9</f>
        <v>7.2999999999999989</v>
      </c>
    </row>
    <row r="496" spans="1:7" s="2" customFormat="1" ht="22.2" customHeight="1" x14ac:dyDescent="0.25">
      <c r="A496" s="38" t="s">
        <v>380</v>
      </c>
      <c r="B496" s="18" t="s">
        <v>17</v>
      </c>
      <c r="C496" s="18" t="s">
        <v>81</v>
      </c>
      <c r="D496" s="18" t="s">
        <v>1</v>
      </c>
      <c r="E496" s="18" t="s">
        <v>381</v>
      </c>
      <c r="F496" s="19"/>
      <c r="G496" s="20">
        <f>SUM(G497)</f>
        <v>20.9</v>
      </c>
    </row>
    <row r="497" spans="1:7" s="2" customFormat="1" ht="30.9" customHeight="1" x14ac:dyDescent="0.25">
      <c r="A497" s="38" t="s">
        <v>153</v>
      </c>
      <c r="B497" s="18" t="s">
        <v>17</v>
      </c>
      <c r="C497" s="18" t="s">
        <v>81</v>
      </c>
      <c r="D497" s="18" t="s">
        <v>1</v>
      </c>
      <c r="E497" s="18" t="s">
        <v>381</v>
      </c>
      <c r="F497" s="19" t="s">
        <v>22</v>
      </c>
      <c r="G497" s="20">
        <v>20.9</v>
      </c>
    </row>
    <row r="498" spans="1:7" s="2" customFormat="1" ht="30.9" customHeight="1" x14ac:dyDescent="0.25">
      <c r="A498" s="47" t="s">
        <v>378</v>
      </c>
      <c r="B498" s="18" t="s">
        <v>17</v>
      </c>
      <c r="C498" s="18" t="s">
        <v>81</v>
      </c>
      <c r="D498" s="18" t="s">
        <v>1</v>
      </c>
      <c r="E498" s="18" t="s">
        <v>379</v>
      </c>
      <c r="F498" s="18"/>
      <c r="G498" s="20">
        <f>SUM(G499)</f>
        <v>108.30000000000001</v>
      </c>
    </row>
    <row r="499" spans="1:7" s="2" customFormat="1" ht="32.4" customHeight="1" x14ac:dyDescent="0.25">
      <c r="A499" s="38" t="s">
        <v>153</v>
      </c>
      <c r="B499" s="18" t="s">
        <v>17</v>
      </c>
      <c r="C499" s="18" t="s">
        <v>81</v>
      </c>
      <c r="D499" s="18" t="s">
        <v>1</v>
      </c>
      <c r="E499" s="18" t="s">
        <v>379</v>
      </c>
      <c r="F499" s="18" t="s">
        <v>22</v>
      </c>
      <c r="G499" s="20">
        <f>125.7-17.4</f>
        <v>108.30000000000001</v>
      </c>
    </row>
    <row r="500" spans="1:7" s="2" customFormat="1" ht="37.950000000000003" customHeight="1" x14ac:dyDescent="0.25">
      <c r="A500" s="38" t="s">
        <v>376</v>
      </c>
      <c r="B500" s="18" t="s">
        <v>17</v>
      </c>
      <c r="C500" s="18" t="s">
        <v>81</v>
      </c>
      <c r="D500" s="18" t="s">
        <v>1</v>
      </c>
      <c r="E500" s="18" t="s">
        <v>377</v>
      </c>
      <c r="F500" s="18"/>
      <c r="G500" s="20">
        <f>G501</f>
        <v>92.7</v>
      </c>
    </row>
    <row r="501" spans="1:7" s="2" customFormat="1" ht="30.6" customHeight="1" x14ac:dyDescent="0.25">
      <c r="A501" s="38" t="s">
        <v>153</v>
      </c>
      <c r="B501" s="18" t="s">
        <v>17</v>
      </c>
      <c r="C501" s="18" t="s">
        <v>81</v>
      </c>
      <c r="D501" s="18" t="s">
        <v>1</v>
      </c>
      <c r="E501" s="18" t="s">
        <v>377</v>
      </c>
      <c r="F501" s="18" t="s">
        <v>22</v>
      </c>
      <c r="G501" s="20">
        <v>92.7</v>
      </c>
    </row>
    <row r="502" spans="1:7" s="2" customFormat="1" ht="46.8" x14ac:dyDescent="0.25">
      <c r="A502" s="43" t="s">
        <v>158</v>
      </c>
      <c r="B502" s="18" t="s">
        <v>17</v>
      </c>
      <c r="C502" s="32">
        <v>1</v>
      </c>
      <c r="D502" s="18" t="s">
        <v>1</v>
      </c>
      <c r="E502" s="18" t="s">
        <v>159</v>
      </c>
      <c r="F502" s="18"/>
      <c r="G502" s="35">
        <f>SUM(G503:G503)</f>
        <v>63</v>
      </c>
    </row>
    <row r="503" spans="1:7" s="2" customFormat="1" ht="36" customHeight="1" x14ac:dyDescent="0.25">
      <c r="A503" s="38" t="s">
        <v>19</v>
      </c>
      <c r="B503" s="18" t="s">
        <v>17</v>
      </c>
      <c r="C503" s="32">
        <v>1</v>
      </c>
      <c r="D503" s="18" t="s">
        <v>1</v>
      </c>
      <c r="E503" s="18" t="s">
        <v>159</v>
      </c>
      <c r="F503" s="18" t="s">
        <v>20</v>
      </c>
      <c r="G503" s="20">
        <v>63</v>
      </c>
    </row>
    <row r="504" spans="1:7" s="2" customFormat="1" ht="19.95" customHeight="1" x14ac:dyDescent="0.25">
      <c r="A504" s="40" t="s">
        <v>245</v>
      </c>
      <c r="B504" s="18" t="s">
        <v>17</v>
      </c>
      <c r="C504" s="18" t="s">
        <v>129</v>
      </c>
      <c r="D504" s="18"/>
      <c r="E504" s="18"/>
      <c r="F504" s="19"/>
      <c r="G504" s="20">
        <f>SUM(G505+G514)</f>
        <v>19157.099999999999</v>
      </c>
    </row>
    <row r="505" spans="1:7" s="2" customFormat="1" ht="56.4" customHeight="1" x14ac:dyDescent="0.25">
      <c r="A505" s="40" t="s">
        <v>111</v>
      </c>
      <c r="B505" s="18" t="s">
        <v>17</v>
      </c>
      <c r="C505" s="18" t="s">
        <v>129</v>
      </c>
      <c r="D505" s="18" t="s">
        <v>0</v>
      </c>
      <c r="E505" s="18"/>
      <c r="F505" s="19"/>
      <c r="G505" s="20">
        <f>SUM(G506+G510)</f>
        <v>7508.3000000000011</v>
      </c>
    </row>
    <row r="506" spans="1:7" s="2" customFormat="1" ht="57.6" customHeight="1" x14ac:dyDescent="0.25">
      <c r="A506" s="40" t="s">
        <v>40</v>
      </c>
      <c r="B506" s="18" t="s">
        <v>17</v>
      </c>
      <c r="C506" s="18" t="s">
        <v>129</v>
      </c>
      <c r="D506" s="18" t="s">
        <v>0</v>
      </c>
      <c r="E506" s="18" t="s">
        <v>69</v>
      </c>
      <c r="F506" s="19"/>
      <c r="G506" s="20">
        <f>SUM(G507:G509)</f>
        <v>6620.4000000000005</v>
      </c>
    </row>
    <row r="507" spans="1:7" s="2" customFormat="1" ht="40.200000000000003" customHeight="1" x14ac:dyDescent="0.25">
      <c r="A507" s="38" t="s">
        <v>19</v>
      </c>
      <c r="B507" s="18" t="s">
        <v>17</v>
      </c>
      <c r="C507" s="18" t="s">
        <v>129</v>
      </c>
      <c r="D507" s="18" t="s">
        <v>0</v>
      </c>
      <c r="E507" s="18" t="s">
        <v>69</v>
      </c>
      <c r="F507" s="19" t="s">
        <v>20</v>
      </c>
      <c r="G507" s="20">
        <f>5986.3+59.9</f>
        <v>6046.2</v>
      </c>
    </row>
    <row r="508" spans="1:7" s="2" customFormat="1" ht="35.4" customHeight="1" x14ac:dyDescent="0.25">
      <c r="A508" s="38" t="s">
        <v>153</v>
      </c>
      <c r="B508" s="18" t="s">
        <v>17</v>
      </c>
      <c r="C508" s="18" t="s">
        <v>129</v>
      </c>
      <c r="D508" s="18" t="s">
        <v>0</v>
      </c>
      <c r="E508" s="18" t="s">
        <v>69</v>
      </c>
      <c r="F508" s="19" t="s">
        <v>22</v>
      </c>
      <c r="G508" s="20">
        <f>563.1</f>
        <v>563.1</v>
      </c>
    </row>
    <row r="509" spans="1:7" s="2" customFormat="1" ht="16.5" customHeight="1" x14ac:dyDescent="0.25">
      <c r="A509" s="38" t="s">
        <v>24</v>
      </c>
      <c r="B509" s="18" t="s">
        <v>17</v>
      </c>
      <c r="C509" s="18" t="s">
        <v>129</v>
      </c>
      <c r="D509" s="18" t="s">
        <v>0</v>
      </c>
      <c r="E509" s="18" t="s">
        <v>69</v>
      </c>
      <c r="F509" s="19" t="s">
        <v>25</v>
      </c>
      <c r="G509" s="20">
        <v>11.1</v>
      </c>
    </row>
    <row r="510" spans="1:7" s="2" customFormat="1" ht="49.95" customHeight="1" x14ac:dyDescent="0.25">
      <c r="A510" s="38" t="s">
        <v>198</v>
      </c>
      <c r="B510" s="18" t="s">
        <v>17</v>
      </c>
      <c r="C510" s="18" t="s">
        <v>129</v>
      </c>
      <c r="D510" s="18" t="s">
        <v>0</v>
      </c>
      <c r="E510" s="18" t="s">
        <v>199</v>
      </c>
      <c r="F510" s="19"/>
      <c r="G510" s="20">
        <f>SUM(G511:G513)</f>
        <v>887.90000000000009</v>
      </c>
    </row>
    <row r="511" spans="1:7" s="2" customFormat="1" ht="37.200000000000003" customHeight="1" x14ac:dyDescent="0.25">
      <c r="A511" s="38" t="s">
        <v>19</v>
      </c>
      <c r="B511" s="18" t="s">
        <v>17</v>
      </c>
      <c r="C511" s="18" t="s">
        <v>129</v>
      </c>
      <c r="D511" s="18" t="s">
        <v>0</v>
      </c>
      <c r="E511" s="18" t="s">
        <v>199</v>
      </c>
      <c r="F511" s="19" t="s">
        <v>20</v>
      </c>
      <c r="G511" s="20">
        <f>712.7+7.2+99.7</f>
        <v>819.60000000000014</v>
      </c>
    </row>
    <row r="512" spans="1:7" s="2" customFormat="1" ht="31.5" customHeight="1" x14ac:dyDescent="0.25">
      <c r="A512" s="38" t="s">
        <v>153</v>
      </c>
      <c r="B512" s="18" t="s">
        <v>17</v>
      </c>
      <c r="C512" s="18" t="s">
        <v>129</v>
      </c>
      <c r="D512" s="18" t="s">
        <v>0</v>
      </c>
      <c r="E512" s="18" t="s">
        <v>199</v>
      </c>
      <c r="F512" s="19" t="s">
        <v>22</v>
      </c>
      <c r="G512" s="20">
        <v>67</v>
      </c>
    </row>
    <row r="513" spans="1:14" s="2" customFormat="1" x14ac:dyDescent="0.25">
      <c r="A513" s="38" t="s">
        <v>24</v>
      </c>
      <c r="B513" s="18" t="s">
        <v>17</v>
      </c>
      <c r="C513" s="18" t="s">
        <v>129</v>
      </c>
      <c r="D513" s="18" t="s">
        <v>0</v>
      </c>
      <c r="E513" s="18" t="s">
        <v>199</v>
      </c>
      <c r="F513" s="19" t="s">
        <v>25</v>
      </c>
      <c r="G513" s="20">
        <v>1.3</v>
      </c>
    </row>
    <row r="514" spans="1:14" s="2" customFormat="1" ht="36" customHeight="1" x14ac:dyDescent="0.25">
      <c r="A514" s="38" t="s">
        <v>387</v>
      </c>
      <c r="B514" s="18" t="s">
        <v>17</v>
      </c>
      <c r="C514" s="18" t="s">
        <v>129</v>
      </c>
      <c r="D514" s="18" t="s">
        <v>1</v>
      </c>
      <c r="E514" s="18"/>
      <c r="F514" s="19"/>
      <c r="G514" s="20">
        <f>G515+G517</f>
        <v>11648.8</v>
      </c>
    </row>
    <row r="515" spans="1:14" s="2" customFormat="1" ht="51" customHeight="1" x14ac:dyDescent="0.25">
      <c r="A515" s="38" t="s">
        <v>507</v>
      </c>
      <c r="B515" s="18" t="s">
        <v>17</v>
      </c>
      <c r="C515" s="18" t="s">
        <v>129</v>
      </c>
      <c r="D515" s="18" t="s">
        <v>1</v>
      </c>
      <c r="E515" s="18" t="s">
        <v>386</v>
      </c>
      <c r="F515" s="19"/>
      <c r="G515" s="20">
        <f>G516</f>
        <v>9753.2999999999993</v>
      </c>
    </row>
    <row r="516" spans="1:14" s="2" customFormat="1" ht="31.2" x14ac:dyDescent="0.25">
      <c r="A516" s="38" t="s">
        <v>160</v>
      </c>
      <c r="B516" s="18" t="s">
        <v>17</v>
      </c>
      <c r="C516" s="18" t="s">
        <v>129</v>
      </c>
      <c r="D516" s="18" t="s">
        <v>1</v>
      </c>
      <c r="E516" s="18" t="s">
        <v>386</v>
      </c>
      <c r="F516" s="19" t="s">
        <v>149</v>
      </c>
      <c r="G516" s="20">
        <f>636+49.9+151.7+282+11.7+145.8+749.4+375-0.2+376.3+303.9+30.6+321.2+1199.1+1877.9+1314.6+7+326.1+312.3+210.7+851.3-191.5+412.5</f>
        <v>9753.2999999999993</v>
      </c>
    </row>
    <row r="517" spans="1:14" s="2" customFormat="1" ht="46.8" x14ac:dyDescent="0.25">
      <c r="A517" s="38" t="s">
        <v>518</v>
      </c>
      <c r="B517" s="18" t="s">
        <v>17</v>
      </c>
      <c r="C517" s="18" t="s">
        <v>129</v>
      </c>
      <c r="D517" s="18" t="s">
        <v>1</v>
      </c>
      <c r="E517" s="18" t="s">
        <v>184</v>
      </c>
      <c r="F517" s="19"/>
      <c r="G517" s="20">
        <f>G518</f>
        <v>1895.5</v>
      </c>
    </row>
    <row r="518" spans="1:14" s="2" customFormat="1" x14ac:dyDescent="0.25">
      <c r="A518" s="38" t="s">
        <v>155</v>
      </c>
      <c r="B518" s="18" t="s">
        <v>17</v>
      </c>
      <c r="C518" s="18" t="s">
        <v>129</v>
      </c>
      <c r="D518" s="18" t="s">
        <v>1</v>
      </c>
      <c r="E518" s="18" t="s">
        <v>184</v>
      </c>
      <c r="F518" s="19" t="s">
        <v>147</v>
      </c>
      <c r="G518" s="20">
        <v>1895.5</v>
      </c>
    </row>
    <row r="519" spans="1:14" s="2" customFormat="1" ht="17.25" customHeight="1" x14ac:dyDescent="0.25">
      <c r="A519" s="40" t="s">
        <v>246</v>
      </c>
      <c r="B519" s="18" t="s">
        <v>17</v>
      </c>
      <c r="C519" s="18" t="s">
        <v>139</v>
      </c>
      <c r="D519" s="18"/>
      <c r="E519" s="18"/>
      <c r="F519" s="19"/>
      <c r="G519" s="20">
        <f>SUM(G520)</f>
        <v>21800.899999999998</v>
      </c>
    </row>
    <row r="520" spans="1:14" s="2" customFormat="1" ht="84" customHeight="1" x14ac:dyDescent="0.25">
      <c r="A520" s="51" t="s">
        <v>112</v>
      </c>
      <c r="B520" s="18" t="s">
        <v>17</v>
      </c>
      <c r="C520" s="18" t="s">
        <v>139</v>
      </c>
      <c r="D520" s="18" t="s">
        <v>0</v>
      </c>
      <c r="E520" s="18"/>
      <c r="F520" s="19"/>
      <c r="G520" s="20">
        <f>SUM(G521+G525+G529+G533)</f>
        <v>21800.899999999998</v>
      </c>
      <c r="N520" s="2" t="s">
        <v>207</v>
      </c>
    </row>
    <row r="521" spans="1:14" s="2" customFormat="1" ht="49.95" customHeight="1" x14ac:dyDescent="0.25">
      <c r="A521" s="40" t="s">
        <v>40</v>
      </c>
      <c r="B521" s="18" t="s">
        <v>17</v>
      </c>
      <c r="C521" s="18" t="s">
        <v>139</v>
      </c>
      <c r="D521" s="18" t="s">
        <v>0</v>
      </c>
      <c r="E521" s="18" t="s">
        <v>69</v>
      </c>
      <c r="F521" s="19"/>
      <c r="G521" s="20">
        <f>SUM(G522:G524)</f>
        <v>11647.4</v>
      </c>
    </row>
    <row r="522" spans="1:14" s="2" customFormat="1" ht="36" customHeight="1" x14ac:dyDescent="0.25">
      <c r="A522" s="38" t="s">
        <v>19</v>
      </c>
      <c r="B522" s="18" t="s">
        <v>17</v>
      </c>
      <c r="C522" s="18" t="s">
        <v>139</v>
      </c>
      <c r="D522" s="18" t="s">
        <v>0</v>
      </c>
      <c r="E522" s="18" t="s">
        <v>69</v>
      </c>
      <c r="F522" s="19" t="s">
        <v>20</v>
      </c>
      <c r="G522" s="20">
        <f>9370.1+93.8+435.6</f>
        <v>9899.5</v>
      </c>
    </row>
    <row r="523" spans="1:14" s="2" customFormat="1" ht="30.75" customHeight="1" x14ac:dyDescent="0.25">
      <c r="A523" s="38" t="s">
        <v>153</v>
      </c>
      <c r="B523" s="18" t="s">
        <v>17</v>
      </c>
      <c r="C523" s="18" t="s">
        <v>139</v>
      </c>
      <c r="D523" s="18" t="s">
        <v>0</v>
      </c>
      <c r="E523" s="18" t="s">
        <v>69</v>
      </c>
      <c r="F523" s="19" t="s">
        <v>22</v>
      </c>
      <c r="G523" s="20">
        <f>1858.3+146.7+71.7-100+188.8-430.7</f>
        <v>1734.8</v>
      </c>
    </row>
    <row r="524" spans="1:14" s="2" customFormat="1" ht="19.95" customHeight="1" x14ac:dyDescent="0.25">
      <c r="A524" s="38" t="s">
        <v>24</v>
      </c>
      <c r="B524" s="18" t="s">
        <v>17</v>
      </c>
      <c r="C524" s="18" t="s">
        <v>139</v>
      </c>
      <c r="D524" s="18" t="s">
        <v>0</v>
      </c>
      <c r="E524" s="18" t="s">
        <v>69</v>
      </c>
      <c r="F524" s="19" t="s">
        <v>25</v>
      </c>
      <c r="G524" s="20">
        <f>18-4.9</f>
        <v>13.1</v>
      </c>
    </row>
    <row r="525" spans="1:14" s="2" customFormat="1" ht="52.95" customHeight="1" x14ac:dyDescent="0.25">
      <c r="A525" s="38" t="s">
        <v>201</v>
      </c>
      <c r="B525" s="19" t="s">
        <v>17</v>
      </c>
      <c r="C525" s="21">
        <v>3</v>
      </c>
      <c r="D525" s="19" t="s">
        <v>0</v>
      </c>
      <c r="E525" s="19" t="s">
        <v>200</v>
      </c>
      <c r="F525" s="19"/>
      <c r="G525" s="20">
        <f>SUM(G526:G528)</f>
        <v>6343.4</v>
      </c>
    </row>
    <row r="526" spans="1:14" s="2" customFormat="1" ht="31.95" customHeight="1" x14ac:dyDescent="0.25">
      <c r="A526" s="38" t="s">
        <v>19</v>
      </c>
      <c r="B526" s="19" t="s">
        <v>17</v>
      </c>
      <c r="C526" s="21">
        <v>3</v>
      </c>
      <c r="D526" s="19" t="s">
        <v>0</v>
      </c>
      <c r="E526" s="19" t="s">
        <v>200</v>
      </c>
      <c r="F526" s="19" t="s">
        <v>20</v>
      </c>
      <c r="G526" s="20">
        <f>4146+41+5.4</f>
        <v>4192.3999999999996</v>
      </c>
    </row>
    <row r="527" spans="1:14" s="2" customFormat="1" ht="31.95" customHeight="1" x14ac:dyDescent="0.25">
      <c r="A527" s="38" t="s">
        <v>153</v>
      </c>
      <c r="B527" s="19" t="s">
        <v>17</v>
      </c>
      <c r="C527" s="21">
        <v>3</v>
      </c>
      <c r="D527" s="19" t="s">
        <v>0</v>
      </c>
      <c r="E527" s="19" t="s">
        <v>200</v>
      </c>
      <c r="F527" s="19" t="s">
        <v>22</v>
      </c>
      <c r="G527" s="20">
        <f>1914.1+212.7-5.4</f>
        <v>2121.3999999999996</v>
      </c>
    </row>
    <row r="528" spans="1:14" s="2" customFormat="1" ht="19.95" customHeight="1" x14ac:dyDescent="0.25">
      <c r="A528" s="38" t="s">
        <v>24</v>
      </c>
      <c r="B528" s="19" t="s">
        <v>17</v>
      </c>
      <c r="C528" s="21">
        <v>3</v>
      </c>
      <c r="D528" s="19" t="s">
        <v>0</v>
      </c>
      <c r="E528" s="19" t="s">
        <v>200</v>
      </c>
      <c r="F528" s="19" t="s">
        <v>25</v>
      </c>
      <c r="G528" s="20">
        <v>29.6</v>
      </c>
    </row>
    <row r="529" spans="1:7" s="2" customFormat="1" ht="49.2" customHeight="1" x14ac:dyDescent="0.25">
      <c r="A529" s="38" t="s">
        <v>274</v>
      </c>
      <c r="B529" s="19" t="s">
        <v>17</v>
      </c>
      <c r="C529" s="21">
        <v>3</v>
      </c>
      <c r="D529" s="19" t="s">
        <v>0</v>
      </c>
      <c r="E529" s="19" t="s">
        <v>275</v>
      </c>
      <c r="F529" s="19"/>
      <c r="G529" s="20">
        <f>SUM(G530:G532)</f>
        <v>893.49999999999989</v>
      </c>
    </row>
    <row r="530" spans="1:7" s="2" customFormat="1" ht="34.950000000000003" customHeight="1" x14ac:dyDescent="0.25">
      <c r="A530" s="38" t="s">
        <v>19</v>
      </c>
      <c r="B530" s="19" t="s">
        <v>17</v>
      </c>
      <c r="C530" s="21">
        <v>3</v>
      </c>
      <c r="D530" s="19" t="s">
        <v>0</v>
      </c>
      <c r="E530" s="19" t="s">
        <v>275</v>
      </c>
      <c r="F530" s="19" t="s">
        <v>20</v>
      </c>
      <c r="G530" s="20">
        <f>736.4+7.4</f>
        <v>743.8</v>
      </c>
    </row>
    <row r="531" spans="1:7" s="2" customFormat="1" ht="31.2" x14ac:dyDescent="0.25">
      <c r="A531" s="38" t="s">
        <v>153</v>
      </c>
      <c r="B531" s="19" t="s">
        <v>17</v>
      </c>
      <c r="C531" s="21">
        <v>3</v>
      </c>
      <c r="D531" s="19" t="s">
        <v>0</v>
      </c>
      <c r="E531" s="19" t="s">
        <v>275</v>
      </c>
      <c r="F531" s="19" t="s">
        <v>22</v>
      </c>
      <c r="G531" s="20">
        <v>148.30000000000001</v>
      </c>
    </row>
    <row r="532" spans="1:7" s="2" customFormat="1" x14ac:dyDescent="0.25">
      <c r="A532" s="38" t="s">
        <v>24</v>
      </c>
      <c r="B532" s="19" t="s">
        <v>17</v>
      </c>
      <c r="C532" s="21">
        <v>3</v>
      </c>
      <c r="D532" s="19" t="s">
        <v>0</v>
      </c>
      <c r="E532" s="19" t="s">
        <v>275</v>
      </c>
      <c r="F532" s="19" t="s">
        <v>25</v>
      </c>
      <c r="G532" s="20">
        <v>1.4</v>
      </c>
    </row>
    <row r="533" spans="1:7" s="2" customFormat="1" ht="62.4" x14ac:dyDescent="0.25">
      <c r="A533" s="38" t="s">
        <v>418</v>
      </c>
      <c r="B533" s="19" t="s">
        <v>17</v>
      </c>
      <c r="C533" s="21">
        <v>3</v>
      </c>
      <c r="D533" s="19" t="s">
        <v>0</v>
      </c>
      <c r="E533" s="19" t="s">
        <v>417</v>
      </c>
      <c r="F533" s="19"/>
      <c r="G533" s="20">
        <f>SUM(G534:G535)</f>
        <v>2916.6</v>
      </c>
    </row>
    <row r="534" spans="1:7" s="2" customFormat="1" ht="31.2" x14ac:dyDescent="0.25">
      <c r="A534" s="38" t="s">
        <v>19</v>
      </c>
      <c r="B534" s="19" t="s">
        <v>17</v>
      </c>
      <c r="C534" s="21">
        <v>3</v>
      </c>
      <c r="D534" s="19" t="s">
        <v>0</v>
      </c>
      <c r="E534" s="19" t="s">
        <v>417</v>
      </c>
      <c r="F534" s="19" t="s">
        <v>20</v>
      </c>
      <c r="G534" s="20">
        <f>2822.1+28</f>
        <v>2850.1</v>
      </c>
    </row>
    <row r="535" spans="1:7" s="2" customFormat="1" ht="33.6" customHeight="1" x14ac:dyDescent="0.25">
      <c r="A535" s="38" t="s">
        <v>153</v>
      </c>
      <c r="B535" s="19" t="s">
        <v>17</v>
      </c>
      <c r="C535" s="21">
        <v>3</v>
      </c>
      <c r="D535" s="19" t="s">
        <v>0</v>
      </c>
      <c r="E535" s="19" t="s">
        <v>417</v>
      </c>
      <c r="F535" s="19" t="s">
        <v>22</v>
      </c>
      <c r="G535" s="20">
        <v>66.5</v>
      </c>
    </row>
    <row r="536" spans="1:7" s="2" customFormat="1" ht="46.8" x14ac:dyDescent="0.25">
      <c r="A536" s="38" t="s">
        <v>443</v>
      </c>
      <c r="B536" s="19" t="s">
        <v>17</v>
      </c>
      <c r="C536" s="21">
        <v>4</v>
      </c>
      <c r="D536" s="19"/>
      <c r="E536" s="19"/>
      <c r="F536" s="19"/>
      <c r="G536" s="20">
        <f>SUM(G537)</f>
        <v>0</v>
      </c>
    </row>
    <row r="537" spans="1:7" s="2" customFormat="1" ht="46.8" x14ac:dyDescent="0.25">
      <c r="A537" s="38" t="s">
        <v>446</v>
      </c>
      <c r="B537" s="19" t="s">
        <v>17</v>
      </c>
      <c r="C537" s="21">
        <v>4</v>
      </c>
      <c r="D537" s="19" t="s">
        <v>0</v>
      </c>
      <c r="E537" s="19"/>
      <c r="F537" s="19"/>
      <c r="G537" s="20">
        <f>SUM(G538)</f>
        <v>0</v>
      </c>
    </row>
    <row r="538" spans="1:7" s="2" customFormat="1" ht="17.399999999999999" customHeight="1" x14ac:dyDescent="0.25">
      <c r="A538" s="38" t="s">
        <v>442</v>
      </c>
      <c r="B538" s="19" t="s">
        <v>17</v>
      </c>
      <c r="C538" s="21">
        <v>4</v>
      </c>
      <c r="D538" s="19" t="s">
        <v>0</v>
      </c>
      <c r="E538" s="19" t="s">
        <v>441</v>
      </c>
      <c r="F538" s="19"/>
      <c r="G538" s="20">
        <f>G539</f>
        <v>0</v>
      </c>
    </row>
    <row r="539" spans="1:7" s="2" customFormat="1" ht="35.4" customHeight="1" x14ac:dyDescent="0.25">
      <c r="A539" s="38" t="s">
        <v>153</v>
      </c>
      <c r="B539" s="19" t="s">
        <v>17</v>
      </c>
      <c r="C539" s="21">
        <v>4</v>
      </c>
      <c r="D539" s="19" t="s">
        <v>0</v>
      </c>
      <c r="E539" s="19" t="s">
        <v>441</v>
      </c>
      <c r="F539" s="19" t="s">
        <v>22</v>
      </c>
      <c r="G539" s="20"/>
    </row>
    <row r="540" spans="1:7" s="2" customFormat="1" ht="35.4" customHeight="1" x14ac:dyDescent="0.25">
      <c r="A540" s="38" t="s">
        <v>247</v>
      </c>
      <c r="B540" s="18" t="s">
        <v>17</v>
      </c>
      <c r="C540" s="18" t="s">
        <v>186</v>
      </c>
      <c r="D540" s="18"/>
      <c r="E540" s="18"/>
      <c r="F540" s="19"/>
      <c r="G540" s="20">
        <f>G541</f>
        <v>130297.30000000002</v>
      </c>
    </row>
    <row r="541" spans="1:7" s="2" customFormat="1" ht="36.6" customHeight="1" x14ac:dyDescent="0.25">
      <c r="A541" s="38" t="s">
        <v>187</v>
      </c>
      <c r="B541" s="18" t="s">
        <v>17</v>
      </c>
      <c r="C541" s="18" t="s">
        <v>186</v>
      </c>
      <c r="D541" s="18" t="s">
        <v>0</v>
      </c>
      <c r="E541" s="18"/>
      <c r="F541" s="19"/>
      <c r="G541" s="20">
        <f>G542</f>
        <v>130297.30000000002</v>
      </c>
    </row>
    <row r="542" spans="1:7" s="2" customFormat="1" ht="63" customHeight="1" x14ac:dyDescent="0.25">
      <c r="A542" s="38" t="s">
        <v>284</v>
      </c>
      <c r="B542" s="18" t="s">
        <v>17</v>
      </c>
      <c r="C542" s="18" t="s">
        <v>186</v>
      </c>
      <c r="D542" s="18" t="s">
        <v>0</v>
      </c>
      <c r="E542" s="18" t="s">
        <v>188</v>
      </c>
      <c r="F542" s="19"/>
      <c r="G542" s="20">
        <f>G543</f>
        <v>130297.30000000002</v>
      </c>
    </row>
    <row r="543" spans="1:7" s="2" customFormat="1" ht="33" customHeight="1" x14ac:dyDescent="0.25">
      <c r="A543" s="38" t="s">
        <v>160</v>
      </c>
      <c r="B543" s="18" t="s">
        <v>17</v>
      </c>
      <c r="C543" s="18" t="s">
        <v>186</v>
      </c>
      <c r="D543" s="18" t="s">
        <v>0</v>
      </c>
      <c r="E543" s="18" t="s">
        <v>188</v>
      </c>
      <c r="F543" s="19" t="s">
        <v>149</v>
      </c>
      <c r="G543" s="20">
        <f>28033.4+29212.2+4621.9+2533.8+6651+21825.4+344+20057.5+1484+4196.6+2533.8+6651+179.2+339.6+841.7+20+1523.7+75.1+159.9-0.1-32666.1+237.6-2737.1-2413+1726.8+676.8+209.9+13270.5+19395.6+0.1-341.9+136.8+23.6+80.2+82.3+30.9-407.6+485.7+41.2+822.5+100.6+405.3+65+52.5+30.9-229.5+679.3-312.3+191.5-624.5</f>
        <v>130297.30000000002</v>
      </c>
    </row>
    <row r="544" spans="1:7" s="2" customFormat="1" ht="20.399999999999999" customHeight="1" x14ac:dyDescent="0.25">
      <c r="A544" s="37" t="s">
        <v>248</v>
      </c>
      <c r="B544" s="18" t="s">
        <v>83</v>
      </c>
      <c r="C544" s="18"/>
      <c r="D544" s="18"/>
      <c r="E544" s="18"/>
      <c r="F544" s="19"/>
      <c r="G544" s="20">
        <f>SUM(G545+G566+G575)</f>
        <v>125298.00000000001</v>
      </c>
    </row>
    <row r="545" spans="1:7" s="2" customFormat="1" ht="46.8" x14ac:dyDescent="0.25">
      <c r="A545" s="37" t="s">
        <v>84</v>
      </c>
      <c r="B545" s="18" t="s">
        <v>83</v>
      </c>
      <c r="C545" s="18" t="s">
        <v>81</v>
      </c>
      <c r="D545" s="18"/>
      <c r="E545" s="18"/>
      <c r="F545" s="19"/>
      <c r="G545" s="20">
        <f>SUM(G546+G552+G561)</f>
        <v>30761.5</v>
      </c>
    </row>
    <row r="546" spans="1:7" s="2" customFormat="1" ht="36" customHeight="1" x14ac:dyDescent="0.25">
      <c r="A546" s="37" t="s">
        <v>249</v>
      </c>
      <c r="B546" s="18" t="s">
        <v>83</v>
      </c>
      <c r="C546" s="18" t="s">
        <v>81</v>
      </c>
      <c r="D546" s="18" t="s">
        <v>0</v>
      </c>
      <c r="E546" s="18"/>
      <c r="F546" s="19"/>
      <c r="G546" s="20">
        <f>SUM(G547+G550)</f>
        <v>15224</v>
      </c>
    </row>
    <row r="547" spans="1:7" s="2" customFormat="1" ht="46.8" x14ac:dyDescent="0.25">
      <c r="A547" s="40" t="s">
        <v>40</v>
      </c>
      <c r="B547" s="18" t="s">
        <v>83</v>
      </c>
      <c r="C547" s="18" t="s">
        <v>81</v>
      </c>
      <c r="D547" s="18" t="s">
        <v>0</v>
      </c>
      <c r="E547" s="18" t="s">
        <v>69</v>
      </c>
      <c r="F547" s="19"/>
      <c r="G547" s="20">
        <f>SUM(G548:G549)</f>
        <v>15224</v>
      </c>
    </row>
    <row r="548" spans="1:7" s="2" customFormat="1" ht="31.95" customHeight="1" x14ac:dyDescent="0.25">
      <c r="A548" s="38" t="s">
        <v>160</v>
      </c>
      <c r="B548" s="18" t="s">
        <v>83</v>
      </c>
      <c r="C548" s="18" t="s">
        <v>81</v>
      </c>
      <c r="D548" s="18" t="s">
        <v>0</v>
      </c>
      <c r="E548" s="18" t="s">
        <v>69</v>
      </c>
      <c r="F548" s="19" t="s">
        <v>149</v>
      </c>
      <c r="G548" s="20">
        <f>14519.9+127.7+576.4</f>
        <v>15224</v>
      </c>
    </row>
    <row r="549" spans="1:7" s="2" customFormat="1" x14ac:dyDescent="0.25">
      <c r="A549" s="38" t="s">
        <v>24</v>
      </c>
      <c r="B549" s="18" t="s">
        <v>83</v>
      </c>
      <c r="C549" s="18" t="s">
        <v>81</v>
      </c>
      <c r="D549" s="18" t="s">
        <v>0</v>
      </c>
      <c r="E549" s="18" t="s">
        <v>69</v>
      </c>
      <c r="F549" s="19" t="s">
        <v>25</v>
      </c>
      <c r="G549" s="20"/>
    </row>
    <row r="550" spans="1:7" s="2" customFormat="1" x14ac:dyDescent="0.25">
      <c r="A550" s="39" t="s">
        <v>333</v>
      </c>
      <c r="B550" s="19" t="s">
        <v>83</v>
      </c>
      <c r="C550" s="21">
        <v>1</v>
      </c>
      <c r="D550" s="19" t="s">
        <v>0</v>
      </c>
      <c r="E550" s="19" t="s">
        <v>334</v>
      </c>
      <c r="F550" s="19"/>
      <c r="G550" s="20">
        <f>G551</f>
        <v>0</v>
      </c>
    </row>
    <row r="551" spans="1:7" s="2" customFormat="1" ht="37.950000000000003" customHeight="1" x14ac:dyDescent="0.25">
      <c r="A551" s="38" t="s">
        <v>19</v>
      </c>
      <c r="B551" s="19" t="s">
        <v>83</v>
      </c>
      <c r="C551" s="21">
        <v>1</v>
      </c>
      <c r="D551" s="19" t="s">
        <v>0</v>
      </c>
      <c r="E551" s="19" t="s">
        <v>334</v>
      </c>
      <c r="F551" s="19" t="s">
        <v>149</v>
      </c>
      <c r="G551" s="20"/>
    </row>
    <row r="552" spans="1:7" s="2" customFormat="1" ht="35.4" customHeight="1" x14ac:dyDescent="0.25">
      <c r="A552" s="37" t="s">
        <v>113</v>
      </c>
      <c r="B552" s="18" t="s">
        <v>83</v>
      </c>
      <c r="C552" s="18" t="s">
        <v>81</v>
      </c>
      <c r="D552" s="18" t="s">
        <v>1</v>
      </c>
      <c r="E552" s="18"/>
      <c r="F552" s="19"/>
      <c r="G552" s="20">
        <f>SUM(G553+G557+G559)</f>
        <v>7984.7</v>
      </c>
    </row>
    <row r="553" spans="1:7" s="2" customFormat="1" x14ac:dyDescent="0.25">
      <c r="A553" s="37" t="s">
        <v>35</v>
      </c>
      <c r="B553" s="18" t="s">
        <v>83</v>
      </c>
      <c r="C553" s="18" t="s">
        <v>81</v>
      </c>
      <c r="D553" s="18" t="s">
        <v>1</v>
      </c>
      <c r="E553" s="18" t="s">
        <v>54</v>
      </c>
      <c r="F553" s="19"/>
      <c r="G553" s="20">
        <f>SUM(G554:G556)</f>
        <v>7939.7</v>
      </c>
    </row>
    <row r="554" spans="1:7" s="2" customFormat="1" ht="35.4" customHeight="1" x14ac:dyDescent="0.25">
      <c r="A554" s="38" t="s">
        <v>19</v>
      </c>
      <c r="B554" s="18" t="s">
        <v>83</v>
      </c>
      <c r="C554" s="18" t="s">
        <v>81</v>
      </c>
      <c r="D554" s="18" t="s">
        <v>1</v>
      </c>
      <c r="E554" s="18" t="s">
        <v>54</v>
      </c>
      <c r="F554" s="19" t="s">
        <v>20</v>
      </c>
      <c r="G554" s="20">
        <f>7494.5+75+287.3+82.9</f>
        <v>7939.7</v>
      </c>
    </row>
    <row r="555" spans="1:7" s="2" customFormat="1" ht="31.2" x14ac:dyDescent="0.25">
      <c r="A555" s="38" t="s">
        <v>153</v>
      </c>
      <c r="B555" s="18" t="s">
        <v>83</v>
      </c>
      <c r="C555" s="18" t="s">
        <v>81</v>
      </c>
      <c r="D555" s="18" t="s">
        <v>1</v>
      </c>
      <c r="E555" s="18" t="s">
        <v>54</v>
      </c>
      <c r="F555" s="19" t="s">
        <v>22</v>
      </c>
      <c r="G555" s="20">
        <f>82.9-82.9</f>
        <v>0</v>
      </c>
    </row>
    <row r="556" spans="1:7" s="2" customFormat="1" ht="17.25" customHeight="1" x14ac:dyDescent="0.25">
      <c r="A556" s="38" t="s">
        <v>24</v>
      </c>
      <c r="B556" s="18" t="s">
        <v>83</v>
      </c>
      <c r="C556" s="18" t="s">
        <v>81</v>
      </c>
      <c r="D556" s="18" t="s">
        <v>1</v>
      </c>
      <c r="E556" s="18" t="s">
        <v>54</v>
      </c>
      <c r="F556" s="19" t="s">
        <v>25</v>
      </c>
      <c r="G556" s="20"/>
    </row>
    <row r="557" spans="1:7" s="2" customFormat="1" ht="21" customHeight="1" x14ac:dyDescent="0.25">
      <c r="A557" s="38" t="s">
        <v>374</v>
      </c>
      <c r="B557" s="18" t="s">
        <v>83</v>
      </c>
      <c r="C557" s="32">
        <v>1</v>
      </c>
      <c r="D557" s="18" t="s">
        <v>1</v>
      </c>
      <c r="E557" s="18" t="s">
        <v>375</v>
      </c>
      <c r="F557" s="18"/>
      <c r="G557" s="20">
        <f>SUM(G558)</f>
        <v>24</v>
      </c>
    </row>
    <row r="558" spans="1:7" s="2" customFormat="1" ht="33" customHeight="1" x14ac:dyDescent="0.25">
      <c r="A558" s="38" t="s">
        <v>153</v>
      </c>
      <c r="B558" s="18" t="s">
        <v>83</v>
      </c>
      <c r="C558" s="32">
        <v>1</v>
      </c>
      <c r="D558" s="18" t="s">
        <v>1</v>
      </c>
      <c r="E558" s="18" t="s">
        <v>375</v>
      </c>
      <c r="F558" s="18" t="s">
        <v>22</v>
      </c>
      <c r="G558" s="20">
        <v>24</v>
      </c>
    </row>
    <row r="559" spans="1:7" s="2" customFormat="1" ht="20.399999999999999" customHeight="1" x14ac:dyDescent="0.25">
      <c r="A559" s="38" t="s">
        <v>380</v>
      </c>
      <c r="B559" s="18" t="s">
        <v>83</v>
      </c>
      <c r="C559" s="18" t="s">
        <v>81</v>
      </c>
      <c r="D559" s="18" t="s">
        <v>1</v>
      </c>
      <c r="E559" s="18" t="s">
        <v>381</v>
      </c>
      <c r="F559" s="19"/>
      <c r="G559" s="20">
        <f>SUM(G560)</f>
        <v>21</v>
      </c>
    </row>
    <row r="560" spans="1:7" s="2" customFormat="1" ht="35.4" customHeight="1" x14ac:dyDescent="0.25">
      <c r="A560" s="38" t="s">
        <v>153</v>
      </c>
      <c r="B560" s="18" t="s">
        <v>83</v>
      </c>
      <c r="C560" s="18" t="s">
        <v>81</v>
      </c>
      <c r="D560" s="18" t="s">
        <v>1</v>
      </c>
      <c r="E560" s="18" t="s">
        <v>381</v>
      </c>
      <c r="F560" s="19" t="s">
        <v>22</v>
      </c>
      <c r="G560" s="20">
        <v>21</v>
      </c>
    </row>
    <row r="561" spans="1:7" s="2" customFormat="1" ht="20.399999999999999" customHeight="1" x14ac:dyDescent="0.25">
      <c r="A561" s="37" t="s">
        <v>34</v>
      </c>
      <c r="B561" s="18" t="s">
        <v>83</v>
      </c>
      <c r="C561" s="18" t="s">
        <v>81</v>
      </c>
      <c r="D561" s="18" t="s">
        <v>2</v>
      </c>
      <c r="E561" s="18"/>
      <c r="F561" s="19"/>
      <c r="G561" s="20">
        <f>SUM(G562)</f>
        <v>7552.8</v>
      </c>
    </row>
    <row r="562" spans="1:7" s="2" customFormat="1" ht="34.950000000000003" customHeight="1" x14ac:dyDescent="0.25">
      <c r="A562" s="40" t="s">
        <v>250</v>
      </c>
      <c r="B562" s="18" t="s">
        <v>83</v>
      </c>
      <c r="C562" s="18" t="s">
        <v>81</v>
      </c>
      <c r="D562" s="18" t="s">
        <v>2</v>
      </c>
      <c r="E562" s="18" t="s">
        <v>114</v>
      </c>
      <c r="F562" s="19"/>
      <c r="G562" s="20">
        <f>SUM(G563:G565)</f>
        <v>7552.8</v>
      </c>
    </row>
    <row r="563" spans="1:7" s="2" customFormat="1" ht="31.5" customHeight="1" x14ac:dyDescent="0.25">
      <c r="A563" s="38" t="s">
        <v>153</v>
      </c>
      <c r="B563" s="18" t="s">
        <v>83</v>
      </c>
      <c r="C563" s="18" t="s">
        <v>81</v>
      </c>
      <c r="D563" s="18" t="s">
        <v>2</v>
      </c>
      <c r="E563" s="18" t="s">
        <v>114</v>
      </c>
      <c r="F563" s="19" t="s">
        <v>22</v>
      </c>
      <c r="G563" s="20">
        <f>660+538.8-60+444+1260</f>
        <v>2842.8</v>
      </c>
    </row>
    <row r="564" spans="1:7" s="2" customFormat="1" ht="19.95" customHeight="1" x14ac:dyDescent="0.25">
      <c r="A564" s="38" t="s">
        <v>156</v>
      </c>
      <c r="B564" s="18" t="s">
        <v>83</v>
      </c>
      <c r="C564" s="18" t="s">
        <v>81</v>
      </c>
      <c r="D564" s="18" t="s">
        <v>2</v>
      </c>
      <c r="E564" s="18" t="s">
        <v>114</v>
      </c>
      <c r="F564" s="19" t="s">
        <v>157</v>
      </c>
      <c r="G564" s="20">
        <v>4650</v>
      </c>
    </row>
    <row r="565" spans="1:7" s="2" customFormat="1" x14ac:dyDescent="0.25">
      <c r="A565" s="38" t="s">
        <v>24</v>
      </c>
      <c r="B565" s="18" t="s">
        <v>83</v>
      </c>
      <c r="C565" s="18" t="s">
        <v>81</v>
      </c>
      <c r="D565" s="18" t="s">
        <v>2</v>
      </c>
      <c r="E565" s="18" t="s">
        <v>114</v>
      </c>
      <c r="F565" s="19" t="s">
        <v>25</v>
      </c>
      <c r="G565" s="20">
        <v>60</v>
      </c>
    </row>
    <row r="566" spans="1:7" s="2" customFormat="1" x14ac:dyDescent="0.25">
      <c r="A566" s="38" t="s">
        <v>383</v>
      </c>
      <c r="B566" s="18" t="s">
        <v>83</v>
      </c>
      <c r="C566" s="18" t="s">
        <v>90</v>
      </c>
      <c r="D566" s="18"/>
      <c r="E566" s="18"/>
      <c r="F566" s="19"/>
      <c r="G566" s="20">
        <f>G567+G572</f>
        <v>17582</v>
      </c>
    </row>
    <row r="567" spans="1:7" s="2" customFormat="1" ht="33" customHeight="1" x14ac:dyDescent="0.25">
      <c r="A567" s="38" t="s">
        <v>384</v>
      </c>
      <c r="B567" s="18" t="s">
        <v>83</v>
      </c>
      <c r="C567" s="18" t="s">
        <v>90</v>
      </c>
      <c r="D567" s="18" t="s">
        <v>0</v>
      </c>
      <c r="E567" s="18"/>
      <c r="F567" s="19"/>
      <c r="G567" s="20">
        <f>G568+G570</f>
        <v>17582</v>
      </c>
    </row>
    <row r="568" spans="1:7" s="2" customFormat="1" ht="16.2" customHeight="1" x14ac:dyDescent="0.25">
      <c r="A568" s="38" t="s">
        <v>385</v>
      </c>
      <c r="B568" s="18" t="s">
        <v>83</v>
      </c>
      <c r="C568" s="18" t="s">
        <v>90</v>
      </c>
      <c r="D568" s="18" t="s">
        <v>0</v>
      </c>
      <c r="E568" s="18" t="s">
        <v>382</v>
      </c>
      <c r="F568" s="19"/>
      <c r="G568" s="20">
        <f>G569</f>
        <v>360</v>
      </c>
    </row>
    <row r="569" spans="1:7" s="2" customFormat="1" ht="33.6" customHeight="1" x14ac:dyDescent="0.25">
      <c r="A569" s="38" t="s">
        <v>153</v>
      </c>
      <c r="B569" s="18" t="s">
        <v>83</v>
      </c>
      <c r="C569" s="18" t="s">
        <v>90</v>
      </c>
      <c r="D569" s="18" t="s">
        <v>0</v>
      </c>
      <c r="E569" s="18" t="s">
        <v>382</v>
      </c>
      <c r="F569" s="19" t="s">
        <v>22</v>
      </c>
      <c r="G569" s="20">
        <v>360</v>
      </c>
    </row>
    <row r="570" spans="1:7" s="2" customFormat="1" ht="36" customHeight="1" x14ac:dyDescent="0.25">
      <c r="A570" s="38" t="s">
        <v>453</v>
      </c>
      <c r="B570" s="18" t="s">
        <v>83</v>
      </c>
      <c r="C570" s="18" t="s">
        <v>90</v>
      </c>
      <c r="D570" s="18" t="s">
        <v>0</v>
      </c>
      <c r="E570" s="18" t="s">
        <v>454</v>
      </c>
      <c r="F570" s="19"/>
      <c r="G570" s="20">
        <f>G571</f>
        <v>17222</v>
      </c>
    </row>
    <row r="571" spans="1:7" s="2" customFormat="1" ht="31.2" x14ac:dyDescent="0.25">
      <c r="A571" s="38" t="s">
        <v>153</v>
      </c>
      <c r="B571" s="18" t="s">
        <v>83</v>
      </c>
      <c r="C571" s="18" t="s">
        <v>90</v>
      </c>
      <c r="D571" s="18" t="s">
        <v>0</v>
      </c>
      <c r="E571" s="18" t="s">
        <v>454</v>
      </c>
      <c r="F571" s="19" t="s">
        <v>22</v>
      </c>
      <c r="G571" s="20">
        <f>11690.8+5531.2</f>
        <v>17222</v>
      </c>
    </row>
    <row r="572" spans="1:7" s="2" customFormat="1" ht="46.8" x14ac:dyDescent="0.25">
      <c r="A572" s="52" t="s">
        <v>411</v>
      </c>
      <c r="B572" s="18" t="s">
        <v>83</v>
      </c>
      <c r="C572" s="18" t="s">
        <v>90</v>
      </c>
      <c r="D572" s="18" t="s">
        <v>2</v>
      </c>
      <c r="E572" s="18"/>
      <c r="F572" s="19"/>
      <c r="G572" s="20">
        <f>G573</f>
        <v>0</v>
      </c>
    </row>
    <row r="573" spans="1:7" s="2" customFormat="1" ht="50.4" customHeight="1" x14ac:dyDescent="0.25">
      <c r="A573" s="52" t="s">
        <v>501</v>
      </c>
      <c r="B573" s="18" t="s">
        <v>83</v>
      </c>
      <c r="C573" s="18" t="s">
        <v>90</v>
      </c>
      <c r="D573" s="18" t="s">
        <v>2</v>
      </c>
      <c r="E573" s="18" t="s">
        <v>410</v>
      </c>
      <c r="F573" s="19"/>
      <c r="G573" s="20">
        <f>G574</f>
        <v>0</v>
      </c>
    </row>
    <row r="574" spans="1:7" s="2" customFormat="1" ht="19.95" customHeight="1" x14ac:dyDescent="0.25">
      <c r="A574" s="52" t="s">
        <v>24</v>
      </c>
      <c r="B574" s="18" t="s">
        <v>83</v>
      </c>
      <c r="C574" s="18" t="s">
        <v>90</v>
      </c>
      <c r="D574" s="18" t="s">
        <v>2</v>
      </c>
      <c r="E574" s="18" t="s">
        <v>410</v>
      </c>
      <c r="F574" s="19" t="s">
        <v>25</v>
      </c>
      <c r="G574" s="20"/>
    </row>
    <row r="575" spans="1:7" s="2" customFormat="1" ht="37.200000000000003" customHeight="1" x14ac:dyDescent="0.25">
      <c r="A575" s="40" t="s">
        <v>325</v>
      </c>
      <c r="B575" s="18" t="s">
        <v>83</v>
      </c>
      <c r="C575" s="18" t="s">
        <v>186</v>
      </c>
      <c r="D575" s="18"/>
      <c r="E575" s="18"/>
      <c r="F575" s="18"/>
      <c r="G575" s="20">
        <f>SUM(G576)</f>
        <v>76954.500000000015</v>
      </c>
    </row>
    <row r="576" spans="1:7" s="2" customFormat="1" ht="51" customHeight="1" x14ac:dyDescent="0.25">
      <c r="A576" s="40" t="s">
        <v>326</v>
      </c>
      <c r="B576" s="18" t="s">
        <v>83</v>
      </c>
      <c r="C576" s="18" t="s">
        <v>186</v>
      </c>
      <c r="D576" s="18" t="s">
        <v>0</v>
      </c>
      <c r="E576" s="18"/>
      <c r="F576" s="18"/>
      <c r="G576" s="20">
        <f>SUM(G579+G577)</f>
        <v>76954.500000000015</v>
      </c>
    </row>
    <row r="577" spans="1:7" s="2" customFormat="1" ht="62.4" customHeight="1" x14ac:dyDescent="0.25">
      <c r="A577" s="38" t="s">
        <v>286</v>
      </c>
      <c r="B577" s="18" t="s">
        <v>83</v>
      </c>
      <c r="C577" s="18" t="s">
        <v>186</v>
      </c>
      <c r="D577" s="18" t="s">
        <v>0</v>
      </c>
      <c r="E577" s="18" t="s">
        <v>388</v>
      </c>
      <c r="F577" s="18"/>
      <c r="G577" s="20">
        <f>SUM(G578)</f>
        <v>0</v>
      </c>
    </row>
    <row r="578" spans="1:7" s="2" customFormat="1" ht="30" customHeight="1" x14ac:dyDescent="0.25">
      <c r="A578" s="38" t="s">
        <v>156</v>
      </c>
      <c r="B578" s="18" t="s">
        <v>83</v>
      </c>
      <c r="C578" s="18" t="s">
        <v>186</v>
      </c>
      <c r="D578" s="18" t="s">
        <v>0</v>
      </c>
      <c r="E578" s="18" t="s">
        <v>388</v>
      </c>
      <c r="F578" s="18" t="s">
        <v>157</v>
      </c>
      <c r="G578" s="20">
        <f>6513.5-6513.5</f>
        <v>0</v>
      </c>
    </row>
    <row r="579" spans="1:7" s="2" customFormat="1" ht="62.4" x14ac:dyDescent="0.25">
      <c r="A579" s="38" t="s">
        <v>286</v>
      </c>
      <c r="B579" s="18" t="s">
        <v>83</v>
      </c>
      <c r="C579" s="18" t="s">
        <v>186</v>
      </c>
      <c r="D579" s="18" t="s">
        <v>0</v>
      </c>
      <c r="E579" s="18" t="s">
        <v>287</v>
      </c>
      <c r="F579" s="18"/>
      <c r="G579" s="20">
        <f>SUM(G580:G581)</f>
        <v>76954.500000000015</v>
      </c>
    </row>
    <row r="580" spans="1:7" s="2" customFormat="1" ht="35.4" customHeight="1" x14ac:dyDescent="0.25">
      <c r="A580" s="38" t="s">
        <v>153</v>
      </c>
      <c r="B580" s="18" t="s">
        <v>83</v>
      </c>
      <c r="C580" s="18" t="s">
        <v>186</v>
      </c>
      <c r="D580" s="18" t="s">
        <v>0</v>
      </c>
      <c r="E580" s="18" t="s">
        <v>287</v>
      </c>
      <c r="F580" s="18" t="s">
        <v>22</v>
      </c>
      <c r="G580" s="20">
        <f>50.1+17.9+9.1</f>
        <v>77.099999999999994</v>
      </c>
    </row>
    <row r="581" spans="1:7" s="2" customFormat="1" ht="31.2" x14ac:dyDescent="0.25">
      <c r="A581" s="38" t="s">
        <v>156</v>
      </c>
      <c r="B581" s="18" t="s">
        <v>83</v>
      </c>
      <c r="C581" s="18" t="s">
        <v>186</v>
      </c>
      <c r="D581" s="18" t="s">
        <v>0</v>
      </c>
      <c r="E581" s="18" t="s">
        <v>287</v>
      </c>
      <c r="F581" s="18" t="s">
        <v>157</v>
      </c>
      <c r="G581" s="20">
        <f>51751.9+18579.7+9377.6-2831.8</f>
        <v>76877.400000000009</v>
      </c>
    </row>
    <row r="582" spans="1:7" s="2" customFormat="1" x14ac:dyDescent="0.25">
      <c r="A582" s="37" t="s">
        <v>251</v>
      </c>
      <c r="B582" s="18" t="s">
        <v>77</v>
      </c>
      <c r="C582" s="18"/>
      <c r="D582" s="18"/>
      <c r="E582" s="18"/>
      <c r="F582" s="19"/>
      <c r="G582" s="20">
        <f>SUM(G583+G587+G591+G595+G599)</f>
        <v>42865.100000000006</v>
      </c>
    </row>
    <row r="583" spans="1:7" s="2" customFormat="1" ht="36" customHeight="1" x14ac:dyDescent="0.25">
      <c r="A583" s="37" t="s">
        <v>252</v>
      </c>
      <c r="B583" s="18" t="s">
        <v>77</v>
      </c>
      <c r="C583" s="18" t="s">
        <v>81</v>
      </c>
      <c r="D583" s="18"/>
      <c r="E583" s="18"/>
      <c r="F583" s="19"/>
      <c r="G583" s="20">
        <f>SUM(G584)</f>
        <v>777.1</v>
      </c>
    </row>
    <row r="584" spans="1:7" s="2" customFormat="1" ht="36.6" customHeight="1" x14ac:dyDescent="0.25">
      <c r="A584" s="37" t="s">
        <v>85</v>
      </c>
      <c r="B584" s="18" t="s">
        <v>77</v>
      </c>
      <c r="C584" s="18" t="s">
        <v>81</v>
      </c>
      <c r="D584" s="18" t="s">
        <v>0</v>
      </c>
      <c r="E584" s="18"/>
      <c r="F584" s="19"/>
      <c r="G584" s="20">
        <f>SUM(G585)</f>
        <v>777.1</v>
      </c>
    </row>
    <row r="585" spans="1:7" s="2" customFormat="1" ht="31.5" customHeight="1" x14ac:dyDescent="0.25">
      <c r="A585" s="37" t="s">
        <v>253</v>
      </c>
      <c r="B585" s="18" t="s">
        <v>77</v>
      </c>
      <c r="C585" s="18" t="s">
        <v>81</v>
      </c>
      <c r="D585" s="18" t="s">
        <v>0</v>
      </c>
      <c r="E585" s="18" t="s">
        <v>86</v>
      </c>
      <c r="F585" s="19"/>
      <c r="G585" s="20">
        <f>SUM(G586:G586)</f>
        <v>777.1</v>
      </c>
    </row>
    <row r="586" spans="1:7" s="2" customFormat="1" ht="36" customHeight="1" x14ac:dyDescent="0.25">
      <c r="A586" s="38" t="s">
        <v>153</v>
      </c>
      <c r="B586" s="18" t="s">
        <v>77</v>
      </c>
      <c r="C586" s="18" t="s">
        <v>81</v>
      </c>
      <c r="D586" s="18" t="s">
        <v>0</v>
      </c>
      <c r="E586" s="18" t="s">
        <v>86</v>
      </c>
      <c r="F586" s="19" t="s">
        <v>22</v>
      </c>
      <c r="G586" s="20">
        <f>471.2-27.2+122.1+170+94.1-53.1</f>
        <v>777.1</v>
      </c>
    </row>
    <row r="587" spans="1:7" s="2" customFormat="1" ht="22.95" customHeight="1" x14ac:dyDescent="0.25">
      <c r="A587" s="37" t="s">
        <v>254</v>
      </c>
      <c r="B587" s="18" t="s">
        <v>77</v>
      </c>
      <c r="C587" s="18" t="s">
        <v>129</v>
      </c>
      <c r="D587" s="18"/>
      <c r="E587" s="18"/>
      <c r="F587" s="19"/>
      <c r="G587" s="20">
        <f>SUM(G588)</f>
        <v>25940.5</v>
      </c>
    </row>
    <row r="588" spans="1:7" s="2" customFormat="1" ht="31.2" x14ac:dyDescent="0.25">
      <c r="A588" s="43" t="s">
        <v>87</v>
      </c>
      <c r="B588" s="18" t="s">
        <v>77</v>
      </c>
      <c r="C588" s="18" t="s">
        <v>129</v>
      </c>
      <c r="D588" s="18" t="s">
        <v>0</v>
      </c>
      <c r="E588" s="18"/>
      <c r="F588" s="19"/>
      <c r="G588" s="20">
        <f>SUM(G589)</f>
        <v>25940.5</v>
      </c>
    </row>
    <row r="589" spans="1:7" s="2" customFormat="1" ht="21" customHeight="1" x14ac:dyDescent="0.25">
      <c r="A589" s="37" t="s">
        <v>278</v>
      </c>
      <c r="B589" s="18" t="s">
        <v>77</v>
      </c>
      <c r="C589" s="18">
        <v>2</v>
      </c>
      <c r="D589" s="18" t="s">
        <v>0</v>
      </c>
      <c r="E589" s="18" t="s">
        <v>279</v>
      </c>
      <c r="F589" s="19"/>
      <c r="G589" s="20">
        <f>SUM(G590:G590)</f>
        <v>25940.5</v>
      </c>
    </row>
    <row r="590" spans="1:7" s="2" customFormat="1" ht="24.6" customHeight="1" x14ac:dyDescent="0.25">
      <c r="A590" s="39" t="s">
        <v>155</v>
      </c>
      <c r="B590" s="18" t="s">
        <v>77</v>
      </c>
      <c r="C590" s="18">
        <v>2</v>
      </c>
      <c r="D590" s="18" t="s">
        <v>0</v>
      </c>
      <c r="E590" s="18" t="s">
        <v>279</v>
      </c>
      <c r="F590" s="19" t="s">
        <v>147</v>
      </c>
      <c r="G590" s="20">
        <f>24015.5+27.2+1062.9-0.2+835.1</f>
        <v>25940.5</v>
      </c>
    </row>
    <row r="591" spans="1:7" s="2" customFormat="1" ht="33" customHeight="1" x14ac:dyDescent="0.25">
      <c r="A591" s="37" t="s">
        <v>255</v>
      </c>
      <c r="B591" s="18" t="s">
        <v>77</v>
      </c>
      <c r="C591" s="18" t="s">
        <v>90</v>
      </c>
      <c r="D591" s="18"/>
      <c r="E591" s="18"/>
      <c r="F591" s="19"/>
      <c r="G591" s="20">
        <f>SUM(G592)</f>
        <v>8663.7000000000007</v>
      </c>
    </row>
    <row r="592" spans="1:7" s="2" customFormat="1" ht="36.6" customHeight="1" x14ac:dyDescent="0.25">
      <c r="A592" s="43" t="s">
        <v>91</v>
      </c>
      <c r="B592" s="18" t="s">
        <v>77</v>
      </c>
      <c r="C592" s="18" t="s">
        <v>90</v>
      </c>
      <c r="D592" s="18" t="s">
        <v>0</v>
      </c>
      <c r="E592" s="18"/>
      <c r="F592" s="19"/>
      <c r="G592" s="20">
        <f>SUM(G593)</f>
        <v>8663.7000000000007</v>
      </c>
    </row>
    <row r="593" spans="1:7" s="2" customFormat="1" ht="48.6" customHeight="1" x14ac:dyDescent="0.25">
      <c r="A593" s="37" t="s">
        <v>256</v>
      </c>
      <c r="B593" s="18" t="s">
        <v>77</v>
      </c>
      <c r="C593" s="18" t="s">
        <v>90</v>
      </c>
      <c r="D593" s="18" t="s">
        <v>0</v>
      </c>
      <c r="E593" s="18" t="s">
        <v>92</v>
      </c>
      <c r="F593" s="19"/>
      <c r="G593" s="20">
        <f>SUM(G594:G594)</f>
        <v>8663.7000000000007</v>
      </c>
    </row>
    <row r="594" spans="1:7" s="2" customFormat="1" ht="31.2" customHeight="1" x14ac:dyDescent="0.25">
      <c r="A594" s="38" t="s">
        <v>153</v>
      </c>
      <c r="B594" s="18" t="s">
        <v>77</v>
      </c>
      <c r="C594" s="18" t="s">
        <v>90</v>
      </c>
      <c r="D594" s="18" t="s">
        <v>0</v>
      </c>
      <c r="E594" s="18" t="s">
        <v>92</v>
      </c>
      <c r="F594" s="19" t="s">
        <v>22</v>
      </c>
      <c r="G594" s="20">
        <v>8663.7000000000007</v>
      </c>
    </row>
    <row r="595" spans="1:7" s="2" customFormat="1" ht="30.6" customHeight="1" x14ac:dyDescent="0.25">
      <c r="A595" s="38" t="s">
        <v>345</v>
      </c>
      <c r="B595" s="18" t="s">
        <v>77</v>
      </c>
      <c r="C595" s="18" t="s">
        <v>186</v>
      </c>
      <c r="D595" s="18"/>
      <c r="E595" s="18"/>
      <c r="F595" s="19"/>
      <c r="G595" s="20">
        <f>G596</f>
        <v>717.80000000000007</v>
      </c>
    </row>
    <row r="596" spans="1:7" s="2" customFormat="1" ht="33" customHeight="1" x14ac:dyDescent="0.25">
      <c r="A596" s="54" t="s">
        <v>307</v>
      </c>
      <c r="B596" s="18" t="s">
        <v>77</v>
      </c>
      <c r="C596" s="18" t="s">
        <v>186</v>
      </c>
      <c r="D596" s="18" t="s">
        <v>0</v>
      </c>
      <c r="E596" s="18"/>
      <c r="F596" s="19"/>
      <c r="G596" s="20">
        <f>G597</f>
        <v>717.80000000000007</v>
      </c>
    </row>
    <row r="597" spans="1:7" s="2" customFormat="1" ht="46.95" customHeight="1" x14ac:dyDescent="0.25">
      <c r="A597" s="54" t="s">
        <v>346</v>
      </c>
      <c r="B597" s="18" t="s">
        <v>77</v>
      </c>
      <c r="C597" s="18" t="s">
        <v>186</v>
      </c>
      <c r="D597" s="18" t="s">
        <v>0</v>
      </c>
      <c r="E597" s="18" t="s">
        <v>306</v>
      </c>
      <c r="F597" s="19"/>
      <c r="G597" s="20">
        <f>G598</f>
        <v>717.80000000000007</v>
      </c>
    </row>
    <row r="598" spans="1:7" s="2" customFormat="1" ht="31.95" customHeight="1" x14ac:dyDescent="0.25">
      <c r="A598" s="54" t="s">
        <v>153</v>
      </c>
      <c r="B598" s="18" t="s">
        <v>77</v>
      </c>
      <c r="C598" s="18" t="s">
        <v>186</v>
      </c>
      <c r="D598" s="18" t="s">
        <v>0</v>
      </c>
      <c r="E598" s="18" t="s">
        <v>306</v>
      </c>
      <c r="F598" s="19" t="s">
        <v>22</v>
      </c>
      <c r="G598" s="20">
        <f>700.6+17+0.2</f>
        <v>717.80000000000007</v>
      </c>
    </row>
    <row r="599" spans="1:7" s="2" customFormat="1" ht="31.95" customHeight="1" x14ac:dyDescent="0.25">
      <c r="A599" s="54" t="s">
        <v>516</v>
      </c>
      <c r="B599" s="18" t="s">
        <v>77</v>
      </c>
      <c r="C599" s="18" t="s">
        <v>515</v>
      </c>
      <c r="D599" s="18"/>
      <c r="E599" s="18"/>
      <c r="F599" s="19"/>
      <c r="G599" s="20">
        <f>SUM(G600)</f>
        <v>6766</v>
      </c>
    </row>
    <row r="600" spans="1:7" s="2" customFormat="1" ht="22.5" customHeight="1" x14ac:dyDescent="0.25">
      <c r="A600" s="54" t="s">
        <v>312</v>
      </c>
      <c r="B600" s="18" t="s">
        <v>77</v>
      </c>
      <c r="C600" s="18" t="s">
        <v>515</v>
      </c>
      <c r="D600" s="18" t="s">
        <v>0</v>
      </c>
      <c r="E600" s="18"/>
      <c r="F600" s="19"/>
      <c r="G600" s="20">
        <f>G601+G603+G605</f>
        <v>6766</v>
      </c>
    </row>
    <row r="601" spans="1:7" s="2" customFormat="1" ht="39.75" customHeight="1" x14ac:dyDescent="0.25">
      <c r="A601" s="37" t="s">
        <v>517</v>
      </c>
      <c r="B601" s="18" t="s">
        <v>77</v>
      </c>
      <c r="C601" s="18" t="s">
        <v>515</v>
      </c>
      <c r="D601" s="18" t="s">
        <v>0</v>
      </c>
      <c r="E601" s="18" t="s">
        <v>311</v>
      </c>
      <c r="F601" s="19"/>
      <c r="G601" s="20">
        <f>G602</f>
        <v>766.5</v>
      </c>
    </row>
    <row r="602" spans="1:7" s="2" customFormat="1" ht="20.399999999999999" customHeight="1" x14ac:dyDescent="0.25">
      <c r="A602" s="54" t="s">
        <v>24</v>
      </c>
      <c r="B602" s="18" t="s">
        <v>77</v>
      </c>
      <c r="C602" s="18" t="s">
        <v>515</v>
      </c>
      <c r="D602" s="18" t="s">
        <v>0</v>
      </c>
      <c r="E602" s="18" t="s">
        <v>311</v>
      </c>
      <c r="F602" s="19" t="s">
        <v>25</v>
      </c>
      <c r="G602" s="20">
        <f>564.7+55.5+146.3</f>
        <v>766.5</v>
      </c>
    </row>
    <row r="603" spans="1:7" s="2" customFormat="1" ht="39.6" customHeight="1" x14ac:dyDescent="0.25">
      <c r="A603" s="55" t="s">
        <v>318</v>
      </c>
      <c r="B603" s="18" t="s">
        <v>77</v>
      </c>
      <c r="C603" s="18" t="s">
        <v>515</v>
      </c>
      <c r="D603" s="18" t="s">
        <v>0</v>
      </c>
      <c r="E603" s="18" t="s">
        <v>62</v>
      </c>
      <c r="F603" s="19"/>
      <c r="G603" s="20">
        <f>SUM(G604:G604)</f>
        <v>721.5</v>
      </c>
    </row>
    <row r="604" spans="1:7" s="2" customFormat="1" ht="17.399999999999999" customHeight="1" x14ac:dyDescent="0.25">
      <c r="A604" s="54" t="s">
        <v>24</v>
      </c>
      <c r="B604" s="18" t="s">
        <v>77</v>
      </c>
      <c r="C604" s="18" t="s">
        <v>515</v>
      </c>
      <c r="D604" s="18" t="s">
        <v>0</v>
      </c>
      <c r="E604" s="18" t="s">
        <v>62</v>
      </c>
      <c r="F604" s="19" t="s">
        <v>25</v>
      </c>
      <c r="G604" s="20">
        <f>523.2+198.3</f>
        <v>721.5</v>
      </c>
    </row>
    <row r="605" spans="1:7" s="2" customFormat="1" ht="99.6" customHeight="1" x14ac:dyDescent="0.25">
      <c r="A605" s="56" t="s">
        <v>502</v>
      </c>
      <c r="B605" s="18" t="s">
        <v>77</v>
      </c>
      <c r="C605" s="18" t="s">
        <v>515</v>
      </c>
      <c r="D605" s="18" t="s">
        <v>0</v>
      </c>
      <c r="E605" s="18" t="s">
        <v>76</v>
      </c>
      <c r="F605" s="19"/>
      <c r="G605" s="20">
        <f>SUM(G606:G606)</f>
        <v>5278</v>
      </c>
    </row>
    <row r="606" spans="1:7" s="2" customFormat="1" ht="34.950000000000003" customHeight="1" x14ac:dyDescent="0.25">
      <c r="A606" s="54" t="s">
        <v>153</v>
      </c>
      <c r="B606" s="18" t="s">
        <v>77</v>
      </c>
      <c r="C606" s="18" t="s">
        <v>515</v>
      </c>
      <c r="D606" s="18" t="s">
        <v>0</v>
      </c>
      <c r="E606" s="18" t="s">
        <v>76</v>
      </c>
      <c r="F606" s="19" t="s">
        <v>22</v>
      </c>
      <c r="G606" s="20">
        <f>2645.3+2554.7+78</f>
        <v>5278</v>
      </c>
    </row>
    <row r="607" spans="1:7" s="2" customFormat="1" ht="33.6" customHeight="1" x14ac:dyDescent="0.25">
      <c r="A607" s="55" t="s">
        <v>316</v>
      </c>
      <c r="B607" s="18" t="s">
        <v>71</v>
      </c>
      <c r="C607" s="18"/>
      <c r="D607" s="18"/>
      <c r="E607" s="18"/>
      <c r="F607" s="19"/>
      <c r="G607" s="20">
        <f>SUM(G608)</f>
        <v>0</v>
      </c>
    </row>
    <row r="608" spans="1:7" s="2" customFormat="1" ht="33.6" customHeight="1" x14ac:dyDescent="0.25">
      <c r="A608" s="39" t="s">
        <v>317</v>
      </c>
      <c r="B608" s="18" t="s">
        <v>71</v>
      </c>
      <c r="C608" s="18" t="s">
        <v>81</v>
      </c>
      <c r="D608" s="18"/>
      <c r="E608" s="18"/>
      <c r="F608" s="19"/>
      <c r="G608" s="20">
        <f>SUM(G609)</f>
        <v>0</v>
      </c>
    </row>
    <row r="609" spans="1:7" s="2" customFormat="1" ht="36" customHeight="1" x14ac:dyDescent="0.25">
      <c r="A609" s="39" t="s">
        <v>70</v>
      </c>
      <c r="B609" s="18" t="s">
        <v>71</v>
      </c>
      <c r="C609" s="18" t="s">
        <v>81</v>
      </c>
      <c r="D609" s="18" t="s">
        <v>0</v>
      </c>
      <c r="E609" s="18"/>
      <c r="F609" s="19"/>
      <c r="G609" s="20">
        <f>SUM(G610+G612)</f>
        <v>0</v>
      </c>
    </row>
    <row r="610" spans="1:7" s="2" customFormat="1" ht="36.6" customHeight="1" x14ac:dyDescent="0.25">
      <c r="A610" s="39" t="s">
        <v>508</v>
      </c>
      <c r="B610" s="18" t="s">
        <v>71</v>
      </c>
      <c r="C610" s="18" t="s">
        <v>81</v>
      </c>
      <c r="D610" s="18" t="s">
        <v>0</v>
      </c>
      <c r="E610" s="18" t="s">
        <v>420</v>
      </c>
      <c r="F610" s="19"/>
      <c r="G610" s="20">
        <f>G611</f>
        <v>0</v>
      </c>
    </row>
    <row r="611" spans="1:7" s="2" customFormat="1" ht="34.200000000000003" customHeight="1" x14ac:dyDescent="0.25">
      <c r="A611" s="39" t="s">
        <v>160</v>
      </c>
      <c r="B611" s="18" t="s">
        <v>71</v>
      </c>
      <c r="C611" s="18" t="s">
        <v>81</v>
      </c>
      <c r="D611" s="18" t="s">
        <v>0</v>
      </c>
      <c r="E611" s="18" t="s">
        <v>420</v>
      </c>
      <c r="F611" s="19" t="s">
        <v>149</v>
      </c>
      <c r="G611" s="20">
        <f>1294.1-1294.1</f>
        <v>0</v>
      </c>
    </row>
    <row r="612" spans="1:7" s="2" customFormat="1" ht="98.4" customHeight="1" x14ac:dyDescent="0.25">
      <c r="A612" s="38" t="s">
        <v>372</v>
      </c>
      <c r="B612" s="18" t="s">
        <v>71</v>
      </c>
      <c r="C612" s="18" t="s">
        <v>81</v>
      </c>
      <c r="D612" s="18" t="s">
        <v>0</v>
      </c>
      <c r="E612" s="18" t="s">
        <v>371</v>
      </c>
      <c r="F612" s="19"/>
      <c r="G612" s="20">
        <f>SUM(G613:G613)</f>
        <v>0</v>
      </c>
    </row>
    <row r="613" spans="1:7" s="2" customFormat="1" ht="30" customHeight="1" x14ac:dyDescent="0.25">
      <c r="A613" s="38" t="s">
        <v>160</v>
      </c>
      <c r="B613" s="18" t="s">
        <v>71</v>
      </c>
      <c r="C613" s="18" t="s">
        <v>81</v>
      </c>
      <c r="D613" s="18" t="s">
        <v>0</v>
      </c>
      <c r="E613" s="18" t="s">
        <v>371</v>
      </c>
      <c r="F613" s="19" t="s">
        <v>149</v>
      </c>
      <c r="G613" s="20"/>
    </row>
    <row r="614" spans="1:7" s="2" customFormat="1" ht="35.4" customHeight="1" x14ac:dyDescent="0.25">
      <c r="A614" s="40" t="s">
        <v>257</v>
      </c>
      <c r="B614" s="18" t="s">
        <v>64</v>
      </c>
      <c r="C614" s="18"/>
      <c r="D614" s="18"/>
      <c r="E614" s="18"/>
      <c r="F614" s="18"/>
      <c r="G614" s="20">
        <f>SUM(G615+G619)</f>
        <v>13144.5</v>
      </c>
    </row>
    <row r="615" spans="1:7" s="2" customFormat="1" ht="33" customHeight="1" x14ac:dyDescent="0.25">
      <c r="A615" s="40" t="s">
        <v>337</v>
      </c>
      <c r="B615" s="18" t="s">
        <v>64</v>
      </c>
      <c r="C615" s="18" t="s">
        <v>81</v>
      </c>
      <c r="D615" s="18"/>
      <c r="E615" s="18"/>
      <c r="F615" s="18"/>
      <c r="G615" s="20">
        <f>SUM(G616)</f>
        <v>11288.1</v>
      </c>
    </row>
    <row r="616" spans="1:7" s="2" customFormat="1" ht="18.600000000000001" customHeight="1" x14ac:dyDescent="0.25">
      <c r="A616" s="40" t="s">
        <v>65</v>
      </c>
      <c r="B616" s="18" t="s">
        <v>64</v>
      </c>
      <c r="C616" s="18" t="s">
        <v>81</v>
      </c>
      <c r="D616" s="18" t="s">
        <v>0</v>
      </c>
      <c r="E616" s="18"/>
      <c r="F616" s="18"/>
      <c r="G616" s="20">
        <f>SUM(G617)</f>
        <v>11288.1</v>
      </c>
    </row>
    <row r="617" spans="1:7" s="2" customFormat="1" x14ac:dyDescent="0.25">
      <c r="A617" s="40" t="s">
        <v>66</v>
      </c>
      <c r="B617" s="18" t="s">
        <v>64</v>
      </c>
      <c r="C617" s="18" t="s">
        <v>81</v>
      </c>
      <c r="D617" s="18" t="s">
        <v>0</v>
      </c>
      <c r="E617" s="18" t="s">
        <v>67</v>
      </c>
      <c r="F617" s="19"/>
      <c r="G617" s="20">
        <f>SUM(G618:G618)</f>
        <v>11288.1</v>
      </c>
    </row>
    <row r="618" spans="1:7" s="2" customFormat="1" ht="33.6" customHeight="1" x14ac:dyDescent="0.25">
      <c r="A618" s="38" t="s">
        <v>160</v>
      </c>
      <c r="B618" s="18" t="s">
        <v>64</v>
      </c>
      <c r="C618" s="18" t="s">
        <v>81</v>
      </c>
      <c r="D618" s="18" t="s">
        <v>0</v>
      </c>
      <c r="E618" s="18" t="s">
        <v>67</v>
      </c>
      <c r="F618" s="19" t="s">
        <v>149</v>
      </c>
      <c r="G618" s="20">
        <f>5588+5063+637.1</f>
        <v>11288.1</v>
      </c>
    </row>
    <row r="619" spans="1:7" s="2" customFormat="1" ht="48.75" customHeight="1" x14ac:dyDescent="0.25">
      <c r="A619" s="40" t="s">
        <v>258</v>
      </c>
      <c r="B619" s="18" t="s">
        <v>169</v>
      </c>
      <c r="C619" s="18" t="s">
        <v>129</v>
      </c>
      <c r="D619" s="18"/>
      <c r="E619" s="18"/>
      <c r="F619" s="19"/>
      <c r="G619" s="20">
        <f>G620</f>
        <v>1856.4</v>
      </c>
    </row>
    <row r="620" spans="1:7" s="2" customFormat="1" ht="34.950000000000003" customHeight="1" x14ac:dyDescent="0.25">
      <c r="A620" s="40" t="s">
        <v>171</v>
      </c>
      <c r="B620" s="18" t="s">
        <v>64</v>
      </c>
      <c r="C620" s="18" t="s">
        <v>129</v>
      </c>
      <c r="D620" s="18" t="s">
        <v>0</v>
      </c>
      <c r="E620" s="18"/>
      <c r="F620" s="19"/>
      <c r="G620" s="20">
        <f>G621+G625</f>
        <v>1856.4</v>
      </c>
    </row>
    <row r="621" spans="1:7" s="2" customFormat="1" ht="33" customHeight="1" x14ac:dyDescent="0.25">
      <c r="A621" s="40" t="s">
        <v>172</v>
      </c>
      <c r="B621" s="18" t="s">
        <v>64</v>
      </c>
      <c r="C621" s="18" t="s">
        <v>129</v>
      </c>
      <c r="D621" s="18" t="s">
        <v>0</v>
      </c>
      <c r="E621" s="18" t="s">
        <v>170</v>
      </c>
      <c r="F621" s="19"/>
      <c r="G621" s="20">
        <f>SUM(G622:G624)</f>
        <v>1826.4</v>
      </c>
    </row>
    <row r="622" spans="1:7" s="2" customFormat="1" ht="35.25" customHeight="1" x14ac:dyDescent="0.25">
      <c r="A622" s="38" t="s">
        <v>153</v>
      </c>
      <c r="B622" s="18" t="s">
        <v>64</v>
      </c>
      <c r="C622" s="18" t="s">
        <v>129</v>
      </c>
      <c r="D622" s="18" t="s">
        <v>0</v>
      </c>
      <c r="E622" s="18" t="s">
        <v>170</v>
      </c>
      <c r="F622" s="19" t="s">
        <v>22</v>
      </c>
      <c r="G622" s="20">
        <f>525.5+156.5+42.5+171.5+135.4+840+40-100</f>
        <v>1811.4</v>
      </c>
    </row>
    <row r="623" spans="1:7" s="2" customFormat="1" ht="18.600000000000001" customHeight="1" x14ac:dyDescent="0.25">
      <c r="A623" s="38" t="s">
        <v>155</v>
      </c>
      <c r="B623" s="18" t="s">
        <v>64</v>
      </c>
      <c r="C623" s="18" t="s">
        <v>129</v>
      </c>
      <c r="D623" s="18" t="s">
        <v>0</v>
      </c>
      <c r="E623" s="18" t="s">
        <v>170</v>
      </c>
      <c r="F623" s="19" t="s">
        <v>147</v>
      </c>
      <c r="G623" s="20">
        <v>15</v>
      </c>
    </row>
    <row r="624" spans="1:7" s="2" customFormat="1" ht="34.200000000000003" customHeight="1" x14ac:dyDescent="0.25">
      <c r="A624" s="38" t="s">
        <v>160</v>
      </c>
      <c r="B624" s="18" t="s">
        <v>64</v>
      </c>
      <c r="C624" s="18" t="s">
        <v>129</v>
      </c>
      <c r="D624" s="18" t="s">
        <v>0</v>
      </c>
      <c r="E624" s="18" t="s">
        <v>170</v>
      </c>
      <c r="F624" s="19" t="s">
        <v>149</v>
      </c>
      <c r="G624" s="20"/>
    </row>
    <row r="625" spans="1:7" s="2" customFormat="1" ht="35.4" customHeight="1" x14ac:dyDescent="0.25">
      <c r="A625" s="38" t="s">
        <v>425</v>
      </c>
      <c r="B625" s="18" t="s">
        <v>64</v>
      </c>
      <c r="C625" s="18" t="s">
        <v>129</v>
      </c>
      <c r="D625" s="18" t="s">
        <v>0</v>
      </c>
      <c r="E625" s="18" t="s">
        <v>424</v>
      </c>
      <c r="F625" s="19"/>
      <c r="G625" s="20">
        <f>G626</f>
        <v>30</v>
      </c>
    </row>
    <row r="626" spans="1:7" s="2" customFormat="1" ht="31.2" x14ac:dyDescent="0.25">
      <c r="A626" s="38" t="s">
        <v>153</v>
      </c>
      <c r="B626" s="18" t="s">
        <v>64</v>
      </c>
      <c r="C626" s="18" t="s">
        <v>129</v>
      </c>
      <c r="D626" s="18" t="s">
        <v>0</v>
      </c>
      <c r="E626" s="18" t="s">
        <v>424</v>
      </c>
      <c r="F626" s="19" t="s">
        <v>22</v>
      </c>
      <c r="G626" s="20">
        <v>30</v>
      </c>
    </row>
    <row r="627" spans="1:7" s="2" customFormat="1" ht="34.200000000000003" customHeight="1" x14ac:dyDescent="0.25">
      <c r="A627" s="40" t="s">
        <v>259</v>
      </c>
      <c r="B627" s="18" t="s">
        <v>93</v>
      </c>
      <c r="C627" s="18"/>
      <c r="D627" s="18"/>
      <c r="E627" s="18"/>
      <c r="F627" s="19"/>
      <c r="G627" s="20">
        <f>SUM(G628)</f>
        <v>5763.6</v>
      </c>
    </row>
    <row r="628" spans="1:7" s="2" customFormat="1" ht="48" customHeight="1" x14ac:dyDescent="0.25">
      <c r="A628" s="40" t="s">
        <v>260</v>
      </c>
      <c r="B628" s="18" t="s">
        <v>93</v>
      </c>
      <c r="C628" s="18" t="s">
        <v>81</v>
      </c>
      <c r="D628" s="18"/>
      <c r="E628" s="18"/>
      <c r="F628" s="18"/>
      <c r="G628" s="20">
        <f>SUM(G629)</f>
        <v>5763.6</v>
      </c>
    </row>
    <row r="629" spans="1:7" s="2" customFormat="1" ht="37.950000000000003" customHeight="1" x14ac:dyDescent="0.25">
      <c r="A629" s="43" t="s">
        <v>262</v>
      </c>
      <c r="B629" s="18" t="s">
        <v>93</v>
      </c>
      <c r="C629" s="18" t="s">
        <v>81</v>
      </c>
      <c r="D629" s="18" t="s">
        <v>0</v>
      </c>
      <c r="E629" s="18"/>
      <c r="F629" s="18"/>
      <c r="G629" s="20">
        <f>SUM(G630)</f>
        <v>5763.6</v>
      </c>
    </row>
    <row r="630" spans="1:7" s="2" customFormat="1" ht="46.8" x14ac:dyDescent="0.25">
      <c r="A630" s="40" t="s">
        <v>261</v>
      </c>
      <c r="B630" s="18" t="s">
        <v>93</v>
      </c>
      <c r="C630" s="18" t="s">
        <v>81</v>
      </c>
      <c r="D630" s="18" t="s">
        <v>0</v>
      </c>
      <c r="E630" s="18" t="s">
        <v>94</v>
      </c>
      <c r="F630" s="18"/>
      <c r="G630" s="20">
        <f>SUM(G631:G631)</f>
        <v>5763.6</v>
      </c>
    </row>
    <row r="631" spans="1:7" s="2" customFormat="1" ht="25.95" customHeight="1" x14ac:dyDescent="0.25">
      <c r="A631" s="38" t="s">
        <v>155</v>
      </c>
      <c r="B631" s="18" t="s">
        <v>93</v>
      </c>
      <c r="C631" s="18" t="s">
        <v>81</v>
      </c>
      <c r="D631" s="18" t="s">
        <v>0</v>
      </c>
      <c r="E631" s="18" t="s">
        <v>94</v>
      </c>
      <c r="F631" s="18" t="s">
        <v>147</v>
      </c>
      <c r="G631" s="20">
        <f>5191+200+372.6</f>
        <v>5763.6</v>
      </c>
    </row>
    <row r="632" spans="1:7" s="2" customFormat="1" ht="31.2" x14ac:dyDescent="0.25">
      <c r="A632" s="38" t="s">
        <v>263</v>
      </c>
      <c r="B632" s="18" t="s">
        <v>164</v>
      </c>
      <c r="C632" s="18"/>
      <c r="D632" s="18"/>
      <c r="E632" s="18"/>
      <c r="F632" s="18"/>
      <c r="G632" s="20">
        <f>SUM(G633)</f>
        <v>10957.1</v>
      </c>
    </row>
    <row r="633" spans="1:7" s="2" customFormat="1" ht="46.8" x14ac:dyDescent="0.25">
      <c r="A633" s="38" t="s">
        <v>264</v>
      </c>
      <c r="B633" s="18" t="s">
        <v>164</v>
      </c>
      <c r="C633" s="18" t="s">
        <v>81</v>
      </c>
      <c r="D633" s="18"/>
      <c r="E633" s="18"/>
      <c r="F633" s="18"/>
      <c r="G633" s="20">
        <f>SUM(G634+G646+G649+G652)</f>
        <v>10957.1</v>
      </c>
    </row>
    <row r="634" spans="1:7" s="2" customFormat="1" ht="31.2" x14ac:dyDescent="0.25">
      <c r="A634" s="38" t="s">
        <v>163</v>
      </c>
      <c r="B634" s="18" t="s">
        <v>164</v>
      </c>
      <c r="C634" s="18" t="s">
        <v>81</v>
      </c>
      <c r="D634" s="18" t="s">
        <v>0</v>
      </c>
      <c r="E634" s="18"/>
      <c r="F634" s="18"/>
      <c r="G634" s="20">
        <f>SUM(G635+G640+G644+G642)</f>
        <v>6369.8</v>
      </c>
    </row>
    <row r="635" spans="1:7" s="2" customFormat="1" ht="22.95" customHeight="1" x14ac:dyDescent="0.25">
      <c r="A635" s="37" t="s">
        <v>18</v>
      </c>
      <c r="B635" s="18" t="s">
        <v>164</v>
      </c>
      <c r="C635" s="18" t="s">
        <v>81</v>
      </c>
      <c r="D635" s="18" t="s">
        <v>0</v>
      </c>
      <c r="E635" s="18" t="s">
        <v>54</v>
      </c>
      <c r="F635" s="18"/>
      <c r="G635" s="20">
        <f>SUM(G636:G639)</f>
        <v>6244.3</v>
      </c>
    </row>
    <row r="636" spans="1:7" s="2" customFormat="1" ht="33" customHeight="1" x14ac:dyDescent="0.25">
      <c r="A636" s="38" t="s">
        <v>19</v>
      </c>
      <c r="B636" s="18" t="s">
        <v>164</v>
      </c>
      <c r="C636" s="18" t="s">
        <v>81</v>
      </c>
      <c r="D636" s="18" t="s">
        <v>0</v>
      </c>
      <c r="E636" s="18" t="s">
        <v>54</v>
      </c>
      <c r="F636" s="18" t="s">
        <v>20</v>
      </c>
      <c r="G636" s="20">
        <f>7344+69.1-1296.1</f>
        <v>6117</v>
      </c>
    </row>
    <row r="637" spans="1:7" s="2" customFormat="1" ht="33" customHeight="1" x14ac:dyDescent="0.25">
      <c r="A637" s="38" t="s">
        <v>153</v>
      </c>
      <c r="B637" s="18" t="s">
        <v>164</v>
      </c>
      <c r="C637" s="18" t="s">
        <v>81</v>
      </c>
      <c r="D637" s="18" t="s">
        <v>0</v>
      </c>
      <c r="E637" s="18" t="s">
        <v>54</v>
      </c>
      <c r="F637" s="18" t="s">
        <v>22</v>
      </c>
      <c r="G637" s="20">
        <f>171.7-44.4</f>
        <v>127.29999999999998</v>
      </c>
    </row>
    <row r="638" spans="1:7" s="2" customFormat="1" x14ac:dyDescent="0.25">
      <c r="A638" s="38" t="s">
        <v>155</v>
      </c>
      <c r="B638" s="18" t="s">
        <v>164</v>
      </c>
      <c r="C638" s="18" t="s">
        <v>81</v>
      </c>
      <c r="D638" s="18" t="s">
        <v>0</v>
      </c>
      <c r="E638" s="18" t="s">
        <v>54</v>
      </c>
      <c r="F638" s="18" t="s">
        <v>147</v>
      </c>
      <c r="G638" s="20"/>
    </row>
    <row r="639" spans="1:7" s="2" customFormat="1" ht="20.399999999999999" customHeight="1" x14ac:dyDescent="0.25">
      <c r="A639" s="38" t="s">
        <v>24</v>
      </c>
      <c r="B639" s="18" t="s">
        <v>164</v>
      </c>
      <c r="C639" s="18" t="s">
        <v>81</v>
      </c>
      <c r="D639" s="18" t="s">
        <v>0</v>
      </c>
      <c r="E639" s="18" t="s">
        <v>54</v>
      </c>
      <c r="F639" s="18" t="s">
        <v>25</v>
      </c>
      <c r="G639" s="20">
        <f>8-8</f>
        <v>0</v>
      </c>
    </row>
    <row r="640" spans="1:7" s="2" customFormat="1" x14ac:dyDescent="0.25">
      <c r="A640" s="38" t="s">
        <v>374</v>
      </c>
      <c r="B640" s="18" t="s">
        <v>164</v>
      </c>
      <c r="C640" s="32">
        <v>1</v>
      </c>
      <c r="D640" s="18" t="s">
        <v>0</v>
      </c>
      <c r="E640" s="18" t="s">
        <v>375</v>
      </c>
      <c r="F640" s="18"/>
      <c r="G640" s="20">
        <f>SUM(G641)</f>
        <v>16.700000000000003</v>
      </c>
    </row>
    <row r="641" spans="1:7" s="2" customFormat="1" ht="31.2" x14ac:dyDescent="0.25">
      <c r="A641" s="38" t="s">
        <v>153</v>
      </c>
      <c r="B641" s="18" t="s">
        <v>164</v>
      </c>
      <c r="C641" s="32">
        <v>1</v>
      </c>
      <c r="D641" s="18" t="s">
        <v>0</v>
      </c>
      <c r="E641" s="18" t="s">
        <v>375</v>
      </c>
      <c r="F641" s="18" t="s">
        <v>22</v>
      </c>
      <c r="G641" s="20">
        <f>27.1-10.4</f>
        <v>16.700000000000003</v>
      </c>
    </row>
    <row r="642" spans="1:7" s="2" customFormat="1" ht="16.95" customHeight="1" x14ac:dyDescent="0.25">
      <c r="A642" s="38" t="s">
        <v>380</v>
      </c>
      <c r="B642" s="18" t="s">
        <v>164</v>
      </c>
      <c r="C642" s="18" t="s">
        <v>81</v>
      </c>
      <c r="D642" s="18" t="s">
        <v>0</v>
      </c>
      <c r="E642" s="18" t="s">
        <v>381</v>
      </c>
      <c r="F642" s="19"/>
      <c r="G642" s="20">
        <f>SUM(G643)</f>
        <v>23</v>
      </c>
    </row>
    <row r="643" spans="1:7" s="2" customFormat="1" ht="37.200000000000003" customHeight="1" x14ac:dyDescent="0.25">
      <c r="A643" s="38" t="s">
        <v>153</v>
      </c>
      <c r="B643" s="18" t="s">
        <v>164</v>
      </c>
      <c r="C643" s="18" t="s">
        <v>81</v>
      </c>
      <c r="D643" s="18" t="s">
        <v>0</v>
      </c>
      <c r="E643" s="18" t="s">
        <v>381</v>
      </c>
      <c r="F643" s="19" t="s">
        <v>22</v>
      </c>
      <c r="G643" s="20">
        <f>25.1-2.1</f>
        <v>23</v>
      </c>
    </row>
    <row r="644" spans="1:7" s="2" customFormat="1" ht="31.2" x14ac:dyDescent="0.25">
      <c r="A644" s="38" t="s">
        <v>376</v>
      </c>
      <c r="B644" s="18" t="s">
        <v>164</v>
      </c>
      <c r="C644" s="32">
        <v>1</v>
      </c>
      <c r="D644" s="18" t="s">
        <v>0</v>
      </c>
      <c r="E644" s="18" t="s">
        <v>377</v>
      </c>
      <c r="F644" s="18"/>
      <c r="G644" s="20">
        <f>SUM(G645)</f>
        <v>85.8</v>
      </c>
    </row>
    <row r="645" spans="1:7" s="2" customFormat="1" ht="31.2" x14ac:dyDescent="0.25">
      <c r="A645" s="38" t="s">
        <v>153</v>
      </c>
      <c r="B645" s="18" t="s">
        <v>164</v>
      </c>
      <c r="C645" s="32">
        <v>1</v>
      </c>
      <c r="D645" s="18" t="s">
        <v>0</v>
      </c>
      <c r="E645" s="18" t="s">
        <v>377</v>
      </c>
      <c r="F645" s="18" t="s">
        <v>22</v>
      </c>
      <c r="G645" s="20">
        <f>58+29.1-1.3</f>
        <v>85.8</v>
      </c>
    </row>
    <row r="646" spans="1:7" s="2" customFormat="1" ht="32.25" customHeight="1" x14ac:dyDescent="0.25">
      <c r="A646" s="38" t="s">
        <v>265</v>
      </c>
      <c r="B646" s="18" t="s">
        <v>164</v>
      </c>
      <c r="C646" s="18" t="s">
        <v>81</v>
      </c>
      <c r="D646" s="18" t="s">
        <v>1</v>
      </c>
      <c r="E646" s="18"/>
      <c r="F646" s="18"/>
      <c r="G646" s="20">
        <f>G647</f>
        <v>3963.1</v>
      </c>
    </row>
    <row r="647" spans="1:7" s="2" customFormat="1" ht="46.8" x14ac:dyDescent="0.25">
      <c r="A647" s="38" t="s">
        <v>40</v>
      </c>
      <c r="B647" s="18" t="s">
        <v>164</v>
      </c>
      <c r="C647" s="18" t="s">
        <v>81</v>
      </c>
      <c r="D647" s="18" t="s">
        <v>1</v>
      </c>
      <c r="E647" s="18" t="s">
        <v>69</v>
      </c>
      <c r="F647" s="18"/>
      <c r="G647" s="20">
        <f>G648</f>
        <v>3963.1</v>
      </c>
    </row>
    <row r="648" spans="1:7" s="2" customFormat="1" ht="31.2" x14ac:dyDescent="0.25">
      <c r="A648" s="38" t="s">
        <v>160</v>
      </c>
      <c r="B648" s="18" t="s">
        <v>164</v>
      </c>
      <c r="C648" s="18" t="s">
        <v>81</v>
      </c>
      <c r="D648" s="18" t="s">
        <v>1</v>
      </c>
      <c r="E648" s="18" t="s">
        <v>69</v>
      </c>
      <c r="F648" s="18" t="s">
        <v>149</v>
      </c>
      <c r="G648" s="20">
        <f>2627.1+20.5+1315.5</f>
        <v>3963.1</v>
      </c>
    </row>
    <row r="649" spans="1:7" s="2" customFormat="1" ht="31.2" x14ac:dyDescent="0.25">
      <c r="A649" s="38" t="s">
        <v>185</v>
      </c>
      <c r="B649" s="18" t="s">
        <v>164</v>
      </c>
      <c r="C649" s="18" t="s">
        <v>81</v>
      </c>
      <c r="D649" s="18" t="s">
        <v>2</v>
      </c>
      <c r="E649" s="18"/>
      <c r="F649" s="18"/>
      <c r="G649" s="20">
        <f>G650</f>
        <v>250</v>
      </c>
    </row>
    <row r="650" spans="1:7" s="2" customFormat="1" ht="46.8" x14ac:dyDescent="0.25">
      <c r="A650" s="38" t="s">
        <v>268</v>
      </c>
      <c r="B650" s="18" t="s">
        <v>164</v>
      </c>
      <c r="C650" s="18" t="s">
        <v>81</v>
      </c>
      <c r="D650" s="18" t="s">
        <v>2</v>
      </c>
      <c r="E650" s="18" t="s">
        <v>184</v>
      </c>
      <c r="F650" s="18"/>
      <c r="G650" s="20">
        <f>G651</f>
        <v>250</v>
      </c>
    </row>
    <row r="651" spans="1:7" s="2" customFormat="1" ht="31.2" x14ac:dyDescent="0.25">
      <c r="A651" s="38" t="s">
        <v>153</v>
      </c>
      <c r="B651" s="18" t="s">
        <v>164</v>
      </c>
      <c r="C651" s="18" t="s">
        <v>81</v>
      </c>
      <c r="D651" s="18" t="s">
        <v>2</v>
      </c>
      <c r="E651" s="18" t="s">
        <v>184</v>
      </c>
      <c r="F651" s="18" t="s">
        <v>22</v>
      </c>
      <c r="G651" s="20">
        <v>250</v>
      </c>
    </row>
    <row r="652" spans="1:7" s="2" customFormat="1" ht="31.2" x14ac:dyDescent="0.25">
      <c r="A652" s="38" t="s">
        <v>271</v>
      </c>
      <c r="B652" s="18" t="s">
        <v>164</v>
      </c>
      <c r="C652" s="18" t="s">
        <v>81</v>
      </c>
      <c r="D652" s="18" t="s">
        <v>3</v>
      </c>
      <c r="E652" s="18"/>
      <c r="F652" s="18"/>
      <c r="G652" s="20">
        <f>G653</f>
        <v>374.2</v>
      </c>
    </row>
    <row r="653" spans="1:7" s="2" customFormat="1" ht="31.2" x14ac:dyDescent="0.25">
      <c r="A653" s="38" t="s">
        <v>270</v>
      </c>
      <c r="B653" s="18" t="s">
        <v>164</v>
      </c>
      <c r="C653" s="18" t="s">
        <v>81</v>
      </c>
      <c r="D653" s="18" t="s">
        <v>3</v>
      </c>
      <c r="E653" s="18" t="s">
        <v>269</v>
      </c>
      <c r="F653" s="18"/>
      <c r="G653" s="20">
        <f>G654</f>
        <v>374.2</v>
      </c>
    </row>
    <row r="654" spans="1:7" s="2" customFormat="1" x14ac:dyDescent="0.25">
      <c r="A654" s="38" t="s">
        <v>24</v>
      </c>
      <c r="B654" s="18" t="s">
        <v>164</v>
      </c>
      <c r="C654" s="18" t="s">
        <v>81</v>
      </c>
      <c r="D654" s="18" t="s">
        <v>3</v>
      </c>
      <c r="E654" s="18" t="s">
        <v>269</v>
      </c>
      <c r="F654" s="18" t="s">
        <v>25</v>
      </c>
      <c r="G654" s="20">
        <f>390.8-16.6</f>
        <v>374.2</v>
      </c>
    </row>
    <row r="655" spans="1:7" s="2" customFormat="1" ht="31.2" x14ac:dyDescent="0.25">
      <c r="A655" s="40" t="s">
        <v>21</v>
      </c>
      <c r="B655" s="18" t="s">
        <v>141</v>
      </c>
      <c r="C655" s="18"/>
      <c r="D655" s="18"/>
      <c r="E655" s="18"/>
      <c r="F655" s="18"/>
      <c r="G655" s="20">
        <f>SUM(G656)</f>
        <v>2849.6000000000004</v>
      </c>
    </row>
    <row r="656" spans="1:7" s="2" customFormat="1" ht="22.95" customHeight="1" x14ac:dyDescent="0.25">
      <c r="A656" s="40" t="s">
        <v>56</v>
      </c>
      <c r="B656" s="18" t="s">
        <v>141</v>
      </c>
      <c r="C656" s="18" t="s">
        <v>81</v>
      </c>
      <c r="D656" s="18"/>
      <c r="E656" s="18"/>
      <c r="F656" s="18"/>
      <c r="G656" s="20">
        <f>SUM(G657)</f>
        <v>2849.6000000000004</v>
      </c>
    </row>
    <row r="657" spans="1:7" s="2" customFormat="1" ht="22.2" customHeight="1" x14ac:dyDescent="0.25">
      <c r="A657" s="40" t="s">
        <v>18</v>
      </c>
      <c r="B657" s="18" t="s">
        <v>141</v>
      </c>
      <c r="C657" s="18" t="s">
        <v>81</v>
      </c>
      <c r="D657" s="18" t="s">
        <v>52</v>
      </c>
      <c r="E657" s="18" t="s">
        <v>54</v>
      </c>
      <c r="F657" s="18"/>
      <c r="G657" s="20">
        <f>SUM(G658:G658)</f>
        <v>2849.6000000000004</v>
      </c>
    </row>
    <row r="658" spans="1:7" s="2" customFormat="1" ht="31.2" x14ac:dyDescent="0.25">
      <c r="A658" s="38" t="s">
        <v>19</v>
      </c>
      <c r="B658" s="18" t="s">
        <v>141</v>
      </c>
      <c r="C658" s="18" t="s">
        <v>81</v>
      </c>
      <c r="D658" s="18" t="s">
        <v>52</v>
      </c>
      <c r="E658" s="18" t="s">
        <v>54</v>
      </c>
      <c r="F658" s="18" t="s">
        <v>20</v>
      </c>
      <c r="G658" s="20">
        <f>2821.4+28.3-0.1</f>
        <v>2849.6000000000004</v>
      </c>
    </row>
    <row r="659" spans="1:7" s="2" customFormat="1" ht="25.95" customHeight="1" x14ac:dyDescent="0.25">
      <c r="A659" s="40" t="s">
        <v>36</v>
      </c>
      <c r="B659" s="18" t="s">
        <v>142</v>
      </c>
      <c r="C659" s="18"/>
      <c r="D659" s="18"/>
      <c r="E659" s="18"/>
      <c r="F659" s="18"/>
      <c r="G659" s="20">
        <f>SUM(G660+G664)</f>
        <v>15979.6</v>
      </c>
    </row>
    <row r="660" spans="1:7" s="2" customFormat="1" ht="24" customHeight="1" x14ac:dyDescent="0.25">
      <c r="A660" s="40" t="s">
        <v>55</v>
      </c>
      <c r="B660" s="18" t="s">
        <v>142</v>
      </c>
      <c r="C660" s="18" t="s">
        <v>81</v>
      </c>
      <c r="D660" s="18"/>
      <c r="E660" s="18"/>
      <c r="F660" s="18"/>
      <c r="G660" s="20">
        <f>SUM(G661)</f>
        <v>1742.1</v>
      </c>
    </row>
    <row r="661" spans="1:7" s="2" customFormat="1" ht="26.4" customHeight="1" x14ac:dyDescent="0.25">
      <c r="A661" s="40" t="s">
        <v>18</v>
      </c>
      <c r="B661" s="18" t="s">
        <v>142</v>
      </c>
      <c r="C661" s="18" t="s">
        <v>81</v>
      </c>
      <c r="D661" s="18" t="s">
        <v>52</v>
      </c>
      <c r="E661" s="18" t="s">
        <v>54</v>
      </c>
      <c r="F661" s="18"/>
      <c r="G661" s="20">
        <f>SUM(G662:G663)</f>
        <v>1742.1</v>
      </c>
    </row>
    <row r="662" spans="1:7" s="2" customFormat="1" ht="31.2" x14ac:dyDescent="0.25">
      <c r="A662" s="38" t="s">
        <v>19</v>
      </c>
      <c r="B662" s="18" t="s">
        <v>142</v>
      </c>
      <c r="C662" s="18" t="s">
        <v>81</v>
      </c>
      <c r="D662" s="18" t="s">
        <v>52</v>
      </c>
      <c r="E662" s="18" t="s">
        <v>54</v>
      </c>
      <c r="F662" s="18" t="s">
        <v>20</v>
      </c>
      <c r="G662" s="20">
        <v>1600</v>
      </c>
    </row>
    <row r="663" spans="1:7" s="2" customFormat="1" ht="31.5" customHeight="1" x14ac:dyDescent="0.25">
      <c r="A663" s="38" t="s">
        <v>153</v>
      </c>
      <c r="B663" s="18" t="s">
        <v>142</v>
      </c>
      <c r="C663" s="18" t="s">
        <v>81</v>
      </c>
      <c r="D663" s="18" t="s">
        <v>52</v>
      </c>
      <c r="E663" s="18" t="s">
        <v>54</v>
      </c>
      <c r="F663" s="18" t="s">
        <v>22</v>
      </c>
      <c r="G663" s="20">
        <f>64.3+77.8</f>
        <v>142.1</v>
      </c>
    </row>
    <row r="664" spans="1:7" s="2" customFormat="1" ht="18" customHeight="1" x14ac:dyDescent="0.25">
      <c r="A664" s="38" t="s">
        <v>492</v>
      </c>
      <c r="B664" s="18" t="s">
        <v>142</v>
      </c>
      <c r="C664" s="18" t="s">
        <v>129</v>
      </c>
      <c r="D664" s="18"/>
      <c r="E664" s="18"/>
      <c r="F664" s="18"/>
      <c r="G664" s="20">
        <f>G665</f>
        <v>14237.5</v>
      </c>
    </row>
    <row r="665" spans="1:7" s="2" customFormat="1" ht="31.2" x14ac:dyDescent="0.25">
      <c r="A665" s="38" t="s">
        <v>493</v>
      </c>
      <c r="B665" s="18" t="s">
        <v>142</v>
      </c>
      <c r="C665" s="18" t="s">
        <v>129</v>
      </c>
      <c r="D665" s="18" t="s">
        <v>52</v>
      </c>
      <c r="E665" s="18" t="s">
        <v>491</v>
      </c>
      <c r="F665" s="18"/>
      <c r="G665" s="20">
        <f>G666</f>
        <v>14237.5</v>
      </c>
    </row>
    <row r="666" spans="1:7" s="2" customFormat="1" x14ac:dyDescent="0.25">
      <c r="A666" s="38" t="s">
        <v>24</v>
      </c>
      <c r="B666" s="18" t="s">
        <v>142</v>
      </c>
      <c r="C666" s="18" t="s">
        <v>129</v>
      </c>
      <c r="D666" s="18" t="s">
        <v>52</v>
      </c>
      <c r="E666" s="18" t="s">
        <v>491</v>
      </c>
      <c r="F666" s="18" t="s">
        <v>25</v>
      </c>
      <c r="G666" s="20">
        <v>14237.5</v>
      </c>
    </row>
    <row r="667" spans="1:7" s="2" customFormat="1" x14ac:dyDescent="0.25">
      <c r="A667" s="38" t="s">
        <v>41</v>
      </c>
      <c r="B667" s="18" t="s">
        <v>59</v>
      </c>
      <c r="C667" s="18"/>
      <c r="D667" s="18"/>
      <c r="E667" s="18"/>
      <c r="F667" s="18"/>
      <c r="G667" s="20">
        <f>SUM(G668+G681+G696)</f>
        <v>116260.40000000001</v>
      </c>
    </row>
    <row r="668" spans="1:7" s="2" customFormat="1" ht="31.2" x14ac:dyDescent="0.25">
      <c r="A668" s="40" t="s">
        <v>23</v>
      </c>
      <c r="B668" s="18" t="s">
        <v>59</v>
      </c>
      <c r="C668" s="18" t="s">
        <v>81</v>
      </c>
      <c r="D668" s="18"/>
      <c r="E668" s="18"/>
      <c r="F668" s="18"/>
      <c r="G668" s="20">
        <f>SUM(G669+G678+G675)</f>
        <v>109068.8</v>
      </c>
    </row>
    <row r="669" spans="1:7" s="2" customFormat="1" x14ac:dyDescent="0.25">
      <c r="A669" s="40" t="s">
        <v>18</v>
      </c>
      <c r="B669" s="18" t="s">
        <v>59</v>
      </c>
      <c r="C669" s="18" t="s">
        <v>81</v>
      </c>
      <c r="D669" s="18" t="s">
        <v>52</v>
      </c>
      <c r="E669" s="18" t="s">
        <v>54</v>
      </c>
      <c r="F669" s="18"/>
      <c r="G669" s="20">
        <f>SUM(G670:G674)</f>
        <v>107106.3</v>
      </c>
    </row>
    <row r="670" spans="1:7" s="2" customFormat="1" ht="31.2" x14ac:dyDescent="0.25">
      <c r="A670" s="38" t="s">
        <v>19</v>
      </c>
      <c r="B670" s="18" t="s">
        <v>59</v>
      </c>
      <c r="C670" s="18" t="s">
        <v>81</v>
      </c>
      <c r="D670" s="18" t="s">
        <v>52</v>
      </c>
      <c r="E670" s="18" t="s">
        <v>54</v>
      </c>
      <c r="F670" s="18" t="s">
        <v>20</v>
      </c>
      <c r="G670" s="20">
        <f>97531.1+2538.2+971.5+32.8-0.1+65.6-447.7+759.7-2.8+109.5+255.6+3746.9+55.5+13.2</f>
        <v>105629</v>
      </c>
    </row>
    <row r="671" spans="1:7" s="2" customFormat="1" ht="31.2" x14ac:dyDescent="0.25">
      <c r="A671" s="38" t="s">
        <v>153</v>
      </c>
      <c r="B671" s="18" t="s">
        <v>59</v>
      </c>
      <c r="C671" s="18" t="s">
        <v>81</v>
      </c>
      <c r="D671" s="18" t="s">
        <v>52</v>
      </c>
      <c r="E671" s="18" t="s">
        <v>54</v>
      </c>
      <c r="F671" s="18" t="s">
        <v>22</v>
      </c>
      <c r="G671" s="20">
        <f>1425.7+827.7+53.6+0.1-759.7-109.5-217.3-38.6</f>
        <v>1182</v>
      </c>
    </row>
    <row r="672" spans="1:7" s="2" customFormat="1" ht="22.95" customHeight="1" x14ac:dyDescent="0.25">
      <c r="A672" s="38" t="s">
        <v>155</v>
      </c>
      <c r="B672" s="18" t="s">
        <v>59</v>
      </c>
      <c r="C672" s="18" t="s">
        <v>81</v>
      </c>
      <c r="D672" s="18" t="s">
        <v>52</v>
      </c>
      <c r="E672" s="18" t="s">
        <v>54</v>
      </c>
      <c r="F672" s="18" t="s">
        <v>147</v>
      </c>
      <c r="G672" s="20">
        <v>2.8</v>
      </c>
    </row>
    <row r="673" spans="1:11" s="2" customFormat="1" ht="23.4" customHeight="1" x14ac:dyDescent="0.25">
      <c r="A673" s="38" t="s">
        <v>9</v>
      </c>
      <c r="B673" s="18" t="s">
        <v>59</v>
      </c>
      <c r="C673" s="18" t="s">
        <v>81</v>
      </c>
      <c r="D673" s="18" t="s">
        <v>52</v>
      </c>
      <c r="E673" s="18" t="s">
        <v>54</v>
      </c>
      <c r="F673" s="18" t="s">
        <v>31</v>
      </c>
      <c r="G673" s="20"/>
    </row>
    <row r="674" spans="1:11" s="2" customFormat="1" x14ac:dyDescent="0.25">
      <c r="A674" s="38" t="s">
        <v>24</v>
      </c>
      <c r="B674" s="18" t="s">
        <v>59</v>
      </c>
      <c r="C674" s="18" t="s">
        <v>81</v>
      </c>
      <c r="D674" s="18" t="s">
        <v>52</v>
      </c>
      <c r="E674" s="18" t="s">
        <v>54</v>
      </c>
      <c r="F674" s="18" t="s">
        <v>25</v>
      </c>
      <c r="G674" s="20">
        <f>306.2-13.7</f>
        <v>292.5</v>
      </c>
    </row>
    <row r="675" spans="1:11" s="2" customFormat="1" ht="66.599999999999994" customHeight="1" x14ac:dyDescent="0.25">
      <c r="A675" s="38" t="s">
        <v>280</v>
      </c>
      <c r="B675" s="18">
        <v>52</v>
      </c>
      <c r="C675" s="32">
        <v>1</v>
      </c>
      <c r="D675" s="18" t="s">
        <v>52</v>
      </c>
      <c r="E675" s="18" t="s">
        <v>281</v>
      </c>
      <c r="F675" s="18"/>
      <c r="G675" s="20">
        <f>SUM(G676:G677)</f>
        <v>1428.5</v>
      </c>
    </row>
    <row r="676" spans="1:11" s="2" customFormat="1" ht="31.2" x14ac:dyDescent="0.25">
      <c r="A676" s="38" t="s">
        <v>19</v>
      </c>
      <c r="B676" s="18">
        <v>52</v>
      </c>
      <c r="C676" s="32">
        <v>1</v>
      </c>
      <c r="D676" s="18" t="s">
        <v>52</v>
      </c>
      <c r="E676" s="18" t="s">
        <v>281</v>
      </c>
      <c r="F676" s="18" t="s">
        <v>20</v>
      </c>
      <c r="G676" s="20">
        <f>1107.2+11.1</f>
        <v>1118.3</v>
      </c>
    </row>
    <row r="677" spans="1:11" s="2" customFormat="1" ht="31.2" x14ac:dyDescent="0.25">
      <c r="A677" s="38" t="s">
        <v>153</v>
      </c>
      <c r="B677" s="18">
        <v>52</v>
      </c>
      <c r="C677" s="32">
        <v>1</v>
      </c>
      <c r="D677" s="18" t="s">
        <v>52</v>
      </c>
      <c r="E677" s="18" t="s">
        <v>281</v>
      </c>
      <c r="F677" s="18" t="s">
        <v>22</v>
      </c>
      <c r="G677" s="20">
        <v>310.2</v>
      </c>
    </row>
    <row r="678" spans="1:11" s="2" customFormat="1" ht="52.95" customHeight="1" x14ac:dyDescent="0.25">
      <c r="A678" s="38" t="s">
        <v>44</v>
      </c>
      <c r="B678" s="18">
        <v>52</v>
      </c>
      <c r="C678" s="18">
        <v>1</v>
      </c>
      <c r="D678" s="18" t="s">
        <v>52</v>
      </c>
      <c r="E678" s="18" t="s">
        <v>100</v>
      </c>
      <c r="F678" s="18"/>
      <c r="G678" s="20">
        <f>G679+G680</f>
        <v>534</v>
      </c>
    </row>
    <row r="679" spans="1:11" s="2" customFormat="1" ht="31.2" x14ac:dyDescent="0.25">
      <c r="A679" s="38" t="s">
        <v>19</v>
      </c>
      <c r="B679" s="18">
        <v>52</v>
      </c>
      <c r="C679" s="18">
        <v>1</v>
      </c>
      <c r="D679" s="18" t="s">
        <v>52</v>
      </c>
      <c r="E679" s="18" t="s">
        <v>100</v>
      </c>
      <c r="F679" s="18" t="s">
        <v>20</v>
      </c>
      <c r="G679" s="20">
        <f>456.1+4.6</f>
        <v>460.70000000000005</v>
      </c>
    </row>
    <row r="680" spans="1:11" ht="31.2" x14ac:dyDescent="0.25">
      <c r="A680" s="38" t="s">
        <v>153</v>
      </c>
      <c r="B680" s="18">
        <v>52</v>
      </c>
      <c r="C680" s="18">
        <v>1</v>
      </c>
      <c r="D680" s="18" t="s">
        <v>52</v>
      </c>
      <c r="E680" s="18" t="s">
        <v>100</v>
      </c>
      <c r="F680" s="18" t="s">
        <v>22</v>
      </c>
      <c r="G680" s="20">
        <v>73.3</v>
      </c>
    </row>
    <row r="681" spans="1:11" ht="16.2" customHeight="1" x14ac:dyDescent="0.25">
      <c r="A681" s="40" t="s">
        <v>26</v>
      </c>
      <c r="B681" s="18" t="s">
        <v>59</v>
      </c>
      <c r="C681" s="18" t="s">
        <v>129</v>
      </c>
      <c r="D681" s="18"/>
      <c r="E681" s="18"/>
      <c r="F681" s="18"/>
      <c r="G681" s="20">
        <f>SUM(G682+G684+G687+G690+G693)</f>
        <v>5454.3</v>
      </c>
      <c r="K681" s="22"/>
    </row>
    <row r="682" spans="1:11" ht="49.2" customHeight="1" x14ac:dyDescent="0.25">
      <c r="A682" s="39" t="s">
        <v>50</v>
      </c>
      <c r="B682" s="18" t="s">
        <v>59</v>
      </c>
      <c r="C682" s="18" t="s">
        <v>129</v>
      </c>
      <c r="D682" s="18" t="s">
        <v>52</v>
      </c>
      <c r="E682" s="18" t="s">
        <v>63</v>
      </c>
      <c r="F682" s="18"/>
      <c r="G682" s="20">
        <f>SUM(G683:G683)</f>
        <v>34.800000000000004</v>
      </c>
    </row>
    <row r="683" spans="1:11" ht="34.950000000000003" customHeight="1" x14ac:dyDescent="0.25">
      <c r="A683" s="38" t="s">
        <v>153</v>
      </c>
      <c r="B683" s="18" t="s">
        <v>59</v>
      </c>
      <c r="C683" s="18" t="s">
        <v>129</v>
      </c>
      <c r="D683" s="18" t="s">
        <v>52</v>
      </c>
      <c r="E683" s="18" t="s">
        <v>63</v>
      </c>
      <c r="F683" s="18" t="s">
        <v>22</v>
      </c>
      <c r="G683" s="20">
        <f>68.2-33.4</f>
        <v>34.800000000000004</v>
      </c>
    </row>
    <row r="684" spans="1:11" ht="48.6" customHeight="1" x14ac:dyDescent="0.25">
      <c r="A684" s="39" t="s">
        <v>37</v>
      </c>
      <c r="B684" s="18" t="s">
        <v>59</v>
      </c>
      <c r="C684" s="18" t="s">
        <v>129</v>
      </c>
      <c r="D684" s="18" t="s">
        <v>52</v>
      </c>
      <c r="E684" s="18" t="s">
        <v>61</v>
      </c>
      <c r="F684" s="18"/>
      <c r="G684" s="20">
        <f>SUM(G685:G686)</f>
        <v>0</v>
      </c>
    </row>
    <row r="685" spans="1:11" ht="51" customHeight="1" x14ac:dyDescent="0.25">
      <c r="A685" s="38" t="s">
        <v>151</v>
      </c>
      <c r="B685" s="18" t="s">
        <v>59</v>
      </c>
      <c r="C685" s="18" t="s">
        <v>129</v>
      </c>
      <c r="D685" s="18" t="s">
        <v>52</v>
      </c>
      <c r="E685" s="18" t="s">
        <v>61</v>
      </c>
      <c r="F685" s="18" t="s">
        <v>20</v>
      </c>
      <c r="G685" s="20">
        <f>3188.5-3188.5</f>
        <v>0</v>
      </c>
    </row>
    <row r="686" spans="1:11" ht="33.6" customHeight="1" x14ac:dyDescent="0.25">
      <c r="A686" s="38" t="s">
        <v>153</v>
      </c>
      <c r="B686" s="18" t="s">
        <v>59</v>
      </c>
      <c r="C686" s="18" t="s">
        <v>129</v>
      </c>
      <c r="D686" s="18" t="s">
        <v>52</v>
      </c>
      <c r="E686" s="18" t="s">
        <v>61</v>
      </c>
      <c r="F686" s="18" t="s">
        <v>22</v>
      </c>
      <c r="G686" s="20">
        <f>296.7-296.7</f>
        <v>0</v>
      </c>
    </row>
    <row r="687" spans="1:11" ht="36" customHeight="1" x14ac:dyDescent="0.25">
      <c r="A687" s="39" t="s">
        <v>318</v>
      </c>
      <c r="B687" s="18" t="s">
        <v>59</v>
      </c>
      <c r="C687" s="18" t="s">
        <v>129</v>
      </c>
      <c r="D687" s="18" t="s">
        <v>52</v>
      </c>
      <c r="E687" s="18" t="s">
        <v>62</v>
      </c>
      <c r="F687" s="18"/>
      <c r="G687" s="20">
        <f>SUM(G688:G689)</f>
        <v>730</v>
      </c>
    </row>
    <row r="688" spans="1:11" ht="49.2" customHeight="1" x14ac:dyDescent="0.25">
      <c r="A688" s="38" t="s">
        <v>152</v>
      </c>
      <c r="B688" s="18" t="s">
        <v>59</v>
      </c>
      <c r="C688" s="18" t="s">
        <v>129</v>
      </c>
      <c r="D688" s="18" t="s">
        <v>52</v>
      </c>
      <c r="E688" s="18" t="s">
        <v>62</v>
      </c>
      <c r="F688" s="18" t="s">
        <v>20</v>
      </c>
      <c r="G688" s="20">
        <f>650.6+60.3</f>
        <v>710.9</v>
      </c>
    </row>
    <row r="689" spans="1:7" ht="32.4" customHeight="1" x14ac:dyDescent="0.25">
      <c r="A689" s="38" t="s">
        <v>153</v>
      </c>
      <c r="B689" s="18" t="s">
        <v>59</v>
      </c>
      <c r="C689" s="18" t="s">
        <v>129</v>
      </c>
      <c r="D689" s="18" t="s">
        <v>52</v>
      </c>
      <c r="E689" s="18" t="s">
        <v>62</v>
      </c>
      <c r="F689" s="18" t="s">
        <v>22</v>
      </c>
      <c r="G689" s="20">
        <f>79.4-60.3</f>
        <v>19.100000000000009</v>
      </c>
    </row>
    <row r="690" spans="1:7" ht="64.95" customHeight="1" x14ac:dyDescent="0.25">
      <c r="A690" s="39" t="s">
        <v>440</v>
      </c>
      <c r="B690" s="18" t="s">
        <v>59</v>
      </c>
      <c r="C690" s="18" t="s">
        <v>129</v>
      </c>
      <c r="D690" s="18" t="s">
        <v>52</v>
      </c>
      <c r="E690" s="18" t="s">
        <v>439</v>
      </c>
      <c r="F690" s="18"/>
      <c r="G690" s="20">
        <f>SUM(G691:G692)</f>
        <v>729.9</v>
      </c>
    </row>
    <row r="691" spans="1:7" ht="52.95" customHeight="1" x14ac:dyDescent="0.25">
      <c r="A691" s="38" t="s">
        <v>152</v>
      </c>
      <c r="B691" s="18" t="s">
        <v>59</v>
      </c>
      <c r="C691" s="18" t="s">
        <v>129</v>
      </c>
      <c r="D691" s="18" t="s">
        <v>52</v>
      </c>
      <c r="E691" s="18" t="s">
        <v>439</v>
      </c>
      <c r="F691" s="18" t="s">
        <v>20</v>
      </c>
      <c r="G691" s="20">
        <v>650.6</v>
      </c>
    </row>
    <row r="692" spans="1:7" ht="34.200000000000003" customHeight="1" x14ac:dyDescent="0.25">
      <c r="A692" s="38" t="s">
        <v>153</v>
      </c>
      <c r="B692" s="18" t="s">
        <v>59</v>
      </c>
      <c r="C692" s="18" t="s">
        <v>129</v>
      </c>
      <c r="D692" s="18" t="s">
        <v>52</v>
      </c>
      <c r="E692" s="18" t="s">
        <v>439</v>
      </c>
      <c r="F692" s="18" t="s">
        <v>22</v>
      </c>
      <c r="G692" s="20">
        <v>79.3</v>
      </c>
    </row>
    <row r="693" spans="1:7" ht="33" customHeight="1" x14ac:dyDescent="0.25">
      <c r="A693" s="38" t="s">
        <v>409</v>
      </c>
      <c r="B693" s="18" t="s">
        <v>59</v>
      </c>
      <c r="C693" s="18" t="s">
        <v>129</v>
      </c>
      <c r="D693" s="18" t="s">
        <v>52</v>
      </c>
      <c r="E693" s="18" t="s">
        <v>399</v>
      </c>
      <c r="F693" s="18"/>
      <c r="G693" s="20">
        <f>SUM(G694:G695)</f>
        <v>3959.6000000000004</v>
      </c>
    </row>
    <row r="694" spans="1:7" ht="50.4" customHeight="1" x14ac:dyDescent="0.25">
      <c r="A694" s="38" t="s">
        <v>151</v>
      </c>
      <c r="B694" s="18" t="s">
        <v>59</v>
      </c>
      <c r="C694" s="18" t="s">
        <v>129</v>
      </c>
      <c r="D694" s="18" t="s">
        <v>52</v>
      </c>
      <c r="E694" s="18" t="s">
        <v>399</v>
      </c>
      <c r="F694" s="18" t="s">
        <v>20</v>
      </c>
      <c r="G694" s="20">
        <f>3642.5+46.9+166.4</f>
        <v>3855.8</v>
      </c>
    </row>
    <row r="695" spans="1:7" ht="31.95" customHeight="1" x14ac:dyDescent="0.25">
      <c r="A695" s="38" t="s">
        <v>153</v>
      </c>
      <c r="B695" s="18" t="s">
        <v>59</v>
      </c>
      <c r="C695" s="18" t="s">
        <v>129</v>
      </c>
      <c r="D695" s="18" t="s">
        <v>52</v>
      </c>
      <c r="E695" s="18" t="s">
        <v>399</v>
      </c>
      <c r="F695" s="18" t="s">
        <v>22</v>
      </c>
      <c r="G695" s="20">
        <f>317.1-46.9-166.4</f>
        <v>103.80000000000004</v>
      </c>
    </row>
    <row r="696" spans="1:7" ht="19.2" customHeight="1" x14ac:dyDescent="0.25">
      <c r="A696" s="38" t="s">
        <v>299</v>
      </c>
      <c r="B696" s="18" t="s">
        <v>59</v>
      </c>
      <c r="C696" s="18" t="s">
        <v>90</v>
      </c>
      <c r="D696" s="18"/>
      <c r="E696" s="18"/>
      <c r="F696" s="18"/>
      <c r="G696" s="20">
        <f>G697</f>
        <v>1737.2999999999997</v>
      </c>
    </row>
    <row r="697" spans="1:7" x14ac:dyDescent="0.25">
      <c r="A697" s="38" t="s">
        <v>299</v>
      </c>
      <c r="B697" s="18" t="s">
        <v>59</v>
      </c>
      <c r="C697" s="18" t="s">
        <v>90</v>
      </c>
      <c r="D697" s="18" t="s">
        <v>52</v>
      </c>
      <c r="E697" s="18" t="s">
        <v>298</v>
      </c>
      <c r="F697" s="18"/>
      <c r="G697" s="20">
        <f>G699+G698</f>
        <v>1737.2999999999997</v>
      </c>
    </row>
    <row r="698" spans="1:7" ht="32.4" customHeight="1" x14ac:dyDescent="0.25">
      <c r="A698" s="38" t="s">
        <v>160</v>
      </c>
      <c r="B698" s="18" t="s">
        <v>59</v>
      </c>
      <c r="C698" s="18" t="s">
        <v>90</v>
      </c>
      <c r="D698" s="18" t="s">
        <v>52</v>
      </c>
      <c r="E698" s="18" t="s">
        <v>298</v>
      </c>
      <c r="F698" s="18" t="s">
        <v>149</v>
      </c>
      <c r="G698" s="20">
        <f>52.1+53.9+15</f>
        <v>121</v>
      </c>
    </row>
    <row r="699" spans="1:7" ht="23.4" customHeight="1" x14ac:dyDescent="0.25">
      <c r="A699" s="38" t="s">
        <v>24</v>
      </c>
      <c r="B699" s="18" t="s">
        <v>59</v>
      </c>
      <c r="C699" s="18" t="s">
        <v>90</v>
      </c>
      <c r="D699" s="18" t="s">
        <v>52</v>
      </c>
      <c r="E699" s="18" t="s">
        <v>298</v>
      </c>
      <c r="F699" s="18" t="s">
        <v>25</v>
      </c>
      <c r="G699" s="20">
        <f>24+220.3+5+31.8+170+32+48+80+3.3+50+31+50+53+76+96.3+140+450+55.6</f>
        <v>1616.2999999999997</v>
      </c>
    </row>
    <row r="700" spans="1:7" ht="40.950000000000003" customHeight="1" x14ac:dyDescent="0.25">
      <c r="A700" s="40" t="s">
        <v>39</v>
      </c>
      <c r="B700" s="18" t="s">
        <v>98</v>
      </c>
      <c r="C700" s="18"/>
      <c r="D700" s="18"/>
      <c r="E700" s="18"/>
      <c r="F700" s="18"/>
      <c r="G700" s="20">
        <f>SUM(G701+G707)</f>
        <v>1261721</v>
      </c>
    </row>
    <row r="701" spans="1:7" ht="36" customHeight="1" x14ac:dyDescent="0.25">
      <c r="A701" s="40" t="s">
        <v>99</v>
      </c>
      <c r="B701" s="18" t="s">
        <v>98</v>
      </c>
      <c r="C701" s="18" t="s">
        <v>81</v>
      </c>
      <c r="D701" s="18"/>
      <c r="E701" s="18"/>
      <c r="F701" s="18"/>
      <c r="G701" s="20">
        <f>SUM(G702)</f>
        <v>24620.1</v>
      </c>
    </row>
    <row r="702" spans="1:7" ht="18.600000000000001" customHeight="1" x14ac:dyDescent="0.25">
      <c r="A702" s="40" t="s">
        <v>18</v>
      </c>
      <c r="B702" s="18" t="s">
        <v>98</v>
      </c>
      <c r="C702" s="18" t="s">
        <v>81</v>
      </c>
      <c r="D702" s="18" t="s">
        <v>52</v>
      </c>
      <c r="E702" s="18" t="s">
        <v>54</v>
      </c>
      <c r="F702" s="18"/>
      <c r="G702" s="20">
        <f>SUM(G703:G706)</f>
        <v>24620.1</v>
      </c>
    </row>
    <row r="703" spans="1:7" ht="31.2" x14ac:dyDescent="0.25">
      <c r="A703" s="38" t="s">
        <v>19</v>
      </c>
      <c r="B703" s="18" t="s">
        <v>98</v>
      </c>
      <c r="C703" s="18" t="s">
        <v>81</v>
      </c>
      <c r="D703" s="18" t="s">
        <v>52</v>
      </c>
      <c r="E703" s="18" t="s">
        <v>54</v>
      </c>
      <c r="F703" s="18" t="s">
        <v>20</v>
      </c>
      <c r="G703" s="20">
        <f>24422.6+244.1-6.2-466.3</f>
        <v>24194.199999999997</v>
      </c>
    </row>
    <row r="704" spans="1:7" ht="34.950000000000003" customHeight="1" x14ac:dyDescent="0.25">
      <c r="A704" s="38" t="s">
        <v>153</v>
      </c>
      <c r="B704" s="18" t="s">
        <v>98</v>
      </c>
      <c r="C704" s="18" t="s">
        <v>81</v>
      </c>
      <c r="D704" s="18" t="s">
        <v>52</v>
      </c>
      <c r="E704" s="18" t="s">
        <v>54</v>
      </c>
      <c r="F704" s="18" t="s">
        <v>22</v>
      </c>
      <c r="G704" s="20">
        <f>623.5+19.5-223.3</f>
        <v>419.7</v>
      </c>
    </row>
    <row r="705" spans="1:7" ht="21" customHeight="1" x14ac:dyDescent="0.25">
      <c r="A705" s="38" t="s">
        <v>155</v>
      </c>
      <c r="B705" s="18" t="s">
        <v>98</v>
      </c>
      <c r="C705" s="18" t="s">
        <v>81</v>
      </c>
      <c r="D705" s="18" t="s">
        <v>52</v>
      </c>
      <c r="E705" s="18" t="s">
        <v>54</v>
      </c>
      <c r="F705" s="18" t="s">
        <v>147</v>
      </c>
      <c r="G705" s="20">
        <v>6.2</v>
      </c>
    </row>
    <row r="706" spans="1:7" ht="19.2" customHeight="1" x14ac:dyDescent="0.25">
      <c r="A706" s="38" t="s">
        <v>24</v>
      </c>
      <c r="B706" s="18" t="s">
        <v>98</v>
      </c>
      <c r="C706" s="18" t="s">
        <v>81</v>
      </c>
      <c r="D706" s="18" t="s">
        <v>52</v>
      </c>
      <c r="E706" s="18" t="s">
        <v>54</v>
      </c>
      <c r="F706" s="18" t="s">
        <v>25</v>
      </c>
      <c r="G706" s="20">
        <f>4-4</f>
        <v>0</v>
      </c>
    </row>
    <row r="707" spans="1:7" ht="18" customHeight="1" x14ac:dyDescent="0.25">
      <c r="A707" s="40" t="s">
        <v>28</v>
      </c>
      <c r="B707" s="18" t="s">
        <v>98</v>
      </c>
      <c r="C707" s="18" t="s">
        <v>129</v>
      </c>
      <c r="D707" s="18"/>
      <c r="E707" s="18"/>
      <c r="F707" s="18"/>
      <c r="G707" s="20">
        <f>SUM(G708+G714+G716+G718+G721)</f>
        <v>1237100.8999999999</v>
      </c>
    </row>
    <row r="708" spans="1:7" ht="34.200000000000003" customHeight="1" x14ac:dyDescent="0.25">
      <c r="A708" s="40" t="s">
        <v>38</v>
      </c>
      <c r="B708" s="18" t="s">
        <v>98</v>
      </c>
      <c r="C708" s="18" t="s">
        <v>129</v>
      </c>
      <c r="D708" s="18" t="s">
        <v>52</v>
      </c>
      <c r="E708" s="18" t="s">
        <v>101</v>
      </c>
      <c r="F708" s="18"/>
      <c r="G708" s="20">
        <f>SUM(G709:G713)</f>
        <v>27589.7</v>
      </c>
    </row>
    <row r="709" spans="1:7" ht="31.2" x14ac:dyDescent="0.25">
      <c r="A709" s="38" t="s">
        <v>153</v>
      </c>
      <c r="B709" s="18" t="s">
        <v>98</v>
      </c>
      <c r="C709" s="18" t="s">
        <v>129</v>
      </c>
      <c r="D709" s="18" t="s">
        <v>52</v>
      </c>
      <c r="E709" s="18" t="s">
        <v>101</v>
      </c>
      <c r="F709" s="18" t="s">
        <v>22</v>
      </c>
      <c r="G709" s="20">
        <f>5.7+1595.5+20.1+114.9+18.5</f>
        <v>1754.7</v>
      </c>
    </row>
    <row r="710" spans="1:7" ht="19.95" customHeight="1" x14ac:dyDescent="0.25">
      <c r="A710" s="40" t="s">
        <v>155</v>
      </c>
      <c r="B710" s="18" t="s">
        <v>98</v>
      </c>
      <c r="C710" s="18" t="s">
        <v>129</v>
      </c>
      <c r="D710" s="18" t="s">
        <v>52</v>
      </c>
      <c r="E710" s="18" t="s">
        <v>101</v>
      </c>
      <c r="F710" s="18" t="s">
        <v>147</v>
      </c>
      <c r="G710" s="20">
        <f>4946.8+2880+80</f>
        <v>7906.8</v>
      </c>
    </row>
    <row r="711" spans="1:7" ht="19.2" customHeight="1" x14ac:dyDescent="0.25">
      <c r="A711" s="40" t="s">
        <v>9</v>
      </c>
      <c r="B711" s="18" t="s">
        <v>98</v>
      </c>
      <c r="C711" s="18" t="s">
        <v>129</v>
      </c>
      <c r="D711" s="18" t="s">
        <v>52</v>
      </c>
      <c r="E711" s="18" t="s">
        <v>101</v>
      </c>
      <c r="F711" s="18" t="s">
        <v>31</v>
      </c>
      <c r="G711" s="20">
        <f>600+320.2+1464+1922.4+3520.5+3000+1189-3520.5-366.8</f>
        <v>8128.8</v>
      </c>
    </row>
    <row r="712" spans="1:7" ht="31.2" x14ac:dyDescent="0.25">
      <c r="A712" s="38" t="s">
        <v>160</v>
      </c>
      <c r="B712" s="18" t="s">
        <v>98</v>
      </c>
      <c r="C712" s="18" t="s">
        <v>129</v>
      </c>
      <c r="D712" s="18" t="s">
        <v>52</v>
      </c>
      <c r="E712" s="18" t="s">
        <v>101</v>
      </c>
      <c r="F712" s="18" t="s">
        <v>149</v>
      </c>
      <c r="G712" s="20">
        <f>1237.5+986.5+562.5+1014.1+317.8+166.3+184.5+82.5+175.5+521.7</f>
        <v>5248.9</v>
      </c>
    </row>
    <row r="713" spans="1:7" x14ac:dyDescent="0.25">
      <c r="A713" s="38" t="s">
        <v>24</v>
      </c>
      <c r="B713" s="18" t="s">
        <v>98</v>
      </c>
      <c r="C713" s="18" t="s">
        <v>129</v>
      </c>
      <c r="D713" s="18" t="s">
        <v>52</v>
      </c>
      <c r="E713" s="18" t="s">
        <v>101</v>
      </c>
      <c r="F713" s="18" t="s">
        <v>25</v>
      </c>
      <c r="G713" s="20">
        <f>3000+0.5+10000-1237.5-4946.8+5000-986.5-600-2880-5.7-962.7-1595.5-3.2-1464+3000-0.7+3000-3420.6-3520.5-20.1+1000-114.9-184.5-3000+5000-1189+5000-18.5-82.5-99.4-411+3000-0.9-5000-175.5-0.3-4650-202.3+1.7-55.6-521.7+3520.5+366.8+0.1+10.8</f>
        <v>4550.5000000000027</v>
      </c>
    </row>
    <row r="714" spans="1:7" s="2" customFormat="1" ht="16.95" customHeight="1" x14ac:dyDescent="0.25">
      <c r="A714" s="38" t="s">
        <v>489</v>
      </c>
      <c r="B714" s="18" t="s">
        <v>98</v>
      </c>
      <c r="C714" s="18" t="s">
        <v>129</v>
      </c>
      <c r="D714" s="18" t="s">
        <v>52</v>
      </c>
      <c r="E714" s="18" t="s">
        <v>488</v>
      </c>
      <c r="F714" s="18"/>
      <c r="G714" s="20">
        <f>SUM(G715)</f>
        <v>557182.60000000009</v>
      </c>
    </row>
    <row r="715" spans="1:7" s="2" customFormat="1" ht="33.6" customHeight="1" x14ac:dyDescent="0.25">
      <c r="A715" s="38" t="s">
        <v>153</v>
      </c>
      <c r="B715" s="18" t="s">
        <v>98</v>
      </c>
      <c r="C715" s="18" t="s">
        <v>129</v>
      </c>
      <c r="D715" s="18" t="s">
        <v>52</v>
      </c>
      <c r="E715" s="18" t="s">
        <v>488</v>
      </c>
      <c r="F715" s="18" t="s">
        <v>22</v>
      </c>
      <c r="G715" s="20">
        <f>226413+135457.2+92305.8+80281.8+22724.8</f>
        <v>557182.60000000009</v>
      </c>
    </row>
    <row r="716" spans="1:7" s="2" customFormat="1" ht="81.599999999999994" customHeight="1" x14ac:dyDescent="0.25">
      <c r="A716" s="38" t="s">
        <v>476</v>
      </c>
      <c r="B716" s="18" t="s">
        <v>98</v>
      </c>
      <c r="C716" s="18" t="s">
        <v>129</v>
      </c>
      <c r="D716" s="18" t="s">
        <v>52</v>
      </c>
      <c r="E716" s="18" t="s">
        <v>477</v>
      </c>
      <c r="F716" s="18"/>
      <c r="G716" s="20">
        <f>SUM(G717)</f>
        <v>610190.6</v>
      </c>
    </row>
    <row r="717" spans="1:7" s="2" customFormat="1" ht="36.6" customHeight="1" x14ac:dyDescent="0.25">
      <c r="A717" s="38" t="s">
        <v>153</v>
      </c>
      <c r="B717" s="18" t="s">
        <v>98</v>
      </c>
      <c r="C717" s="18" t="s">
        <v>129</v>
      </c>
      <c r="D717" s="18" t="s">
        <v>52</v>
      </c>
      <c r="E717" s="18" t="s">
        <v>477</v>
      </c>
      <c r="F717" s="18" t="s">
        <v>22</v>
      </c>
      <c r="G717" s="20">
        <f>450120.6+71926.2+57148.2+30995.6</f>
        <v>610190.6</v>
      </c>
    </row>
    <row r="718" spans="1:7" s="2" customFormat="1" ht="16.95" customHeight="1" x14ac:dyDescent="0.25">
      <c r="A718" s="38" t="s">
        <v>497</v>
      </c>
      <c r="B718" s="18" t="s">
        <v>98</v>
      </c>
      <c r="C718" s="18" t="s">
        <v>129</v>
      </c>
      <c r="D718" s="18" t="s">
        <v>52</v>
      </c>
      <c r="E718" s="18" t="s">
        <v>496</v>
      </c>
      <c r="F718" s="18"/>
      <c r="G718" s="20">
        <f>SUM(G719:G720)</f>
        <v>41727</v>
      </c>
    </row>
    <row r="719" spans="1:7" s="2" customFormat="1" ht="16.95" customHeight="1" x14ac:dyDescent="0.25">
      <c r="A719" s="40" t="s">
        <v>155</v>
      </c>
      <c r="B719" s="18" t="s">
        <v>98</v>
      </c>
      <c r="C719" s="18" t="s">
        <v>129</v>
      </c>
      <c r="D719" s="18" t="s">
        <v>52</v>
      </c>
      <c r="E719" s="18" t="s">
        <v>496</v>
      </c>
      <c r="F719" s="18" t="s">
        <v>147</v>
      </c>
      <c r="G719" s="20">
        <f>3.2+30476.8+0.7+6499.6+2999.7+0.9+7638.7+0.3-15820</f>
        <v>31799.9</v>
      </c>
    </row>
    <row r="720" spans="1:7" s="2" customFormat="1" ht="32.25" customHeight="1" x14ac:dyDescent="0.25">
      <c r="A720" s="38" t="s">
        <v>160</v>
      </c>
      <c r="B720" s="18" t="s">
        <v>98</v>
      </c>
      <c r="C720" s="18" t="s">
        <v>129</v>
      </c>
      <c r="D720" s="18" t="s">
        <v>52</v>
      </c>
      <c r="E720" s="18" t="s">
        <v>496</v>
      </c>
      <c r="F720" s="18" t="s">
        <v>149</v>
      </c>
      <c r="G720" s="20">
        <f>199+9628.7+99.4</f>
        <v>9927.1</v>
      </c>
    </row>
    <row r="721" spans="1:7" s="2" customFormat="1" ht="32.25" customHeight="1" x14ac:dyDescent="0.25">
      <c r="A721" s="38" t="s">
        <v>513</v>
      </c>
      <c r="B721" s="18" t="s">
        <v>98</v>
      </c>
      <c r="C721" s="18" t="s">
        <v>129</v>
      </c>
      <c r="D721" s="18" t="s">
        <v>52</v>
      </c>
      <c r="E721" s="18" t="s">
        <v>514</v>
      </c>
      <c r="F721" s="18"/>
      <c r="G721" s="20">
        <f>G722</f>
        <v>411</v>
      </c>
    </row>
    <row r="722" spans="1:7" s="2" customFormat="1" ht="32.25" customHeight="1" x14ac:dyDescent="0.25">
      <c r="A722" s="38" t="s">
        <v>160</v>
      </c>
      <c r="B722" s="18" t="s">
        <v>98</v>
      </c>
      <c r="C722" s="18" t="s">
        <v>129</v>
      </c>
      <c r="D722" s="18" t="s">
        <v>52</v>
      </c>
      <c r="E722" s="18" t="s">
        <v>514</v>
      </c>
      <c r="F722" s="18" t="s">
        <v>149</v>
      </c>
      <c r="G722" s="20">
        <v>411</v>
      </c>
    </row>
    <row r="723" spans="1:7" s="2" customFormat="1" ht="31.2" x14ac:dyDescent="0.25">
      <c r="A723" s="40" t="s">
        <v>32</v>
      </c>
      <c r="B723" s="18" t="s">
        <v>103</v>
      </c>
      <c r="C723" s="18"/>
      <c r="D723" s="18"/>
      <c r="E723" s="18"/>
      <c r="F723" s="18"/>
      <c r="G723" s="20">
        <f>SUM(G724)</f>
        <v>9792.8000000000011</v>
      </c>
    </row>
    <row r="724" spans="1:7" s="2" customFormat="1" ht="21" customHeight="1" x14ac:dyDescent="0.25">
      <c r="A724" s="40" t="s">
        <v>33</v>
      </c>
      <c r="B724" s="18" t="s">
        <v>103</v>
      </c>
      <c r="C724" s="18" t="s">
        <v>129</v>
      </c>
      <c r="D724" s="18"/>
      <c r="E724" s="18"/>
      <c r="F724" s="18"/>
      <c r="G724" s="20">
        <f>SUM(G725+G729)</f>
        <v>9792.8000000000011</v>
      </c>
    </row>
    <row r="725" spans="1:7" s="2" customFormat="1" ht="18.600000000000001" customHeight="1" x14ac:dyDescent="0.25">
      <c r="A725" s="40" t="s">
        <v>18</v>
      </c>
      <c r="B725" s="18" t="s">
        <v>103</v>
      </c>
      <c r="C725" s="18" t="s">
        <v>129</v>
      </c>
      <c r="D725" s="18" t="s">
        <v>52</v>
      </c>
      <c r="E725" s="18" t="s">
        <v>54</v>
      </c>
      <c r="F725" s="18"/>
      <c r="G725" s="20">
        <f>SUM(G726:G728)</f>
        <v>6712.2000000000007</v>
      </c>
    </row>
    <row r="726" spans="1:7" s="2" customFormat="1" ht="31.95" customHeight="1" x14ac:dyDescent="0.25">
      <c r="A726" s="38" t="s">
        <v>19</v>
      </c>
      <c r="B726" s="18" t="s">
        <v>103</v>
      </c>
      <c r="C726" s="18" t="s">
        <v>129</v>
      </c>
      <c r="D726" s="18" t="s">
        <v>52</v>
      </c>
      <c r="E726" s="18" t="s">
        <v>54</v>
      </c>
      <c r="F726" s="18" t="s">
        <v>20</v>
      </c>
      <c r="G726" s="20">
        <f>6470+63.1-6+4.8</f>
        <v>6531.9000000000005</v>
      </c>
    </row>
    <row r="727" spans="1:7" s="2" customFormat="1" ht="31.2" customHeight="1" x14ac:dyDescent="0.25">
      <c r="A727" s="38" t="s">
        <v>153</v>
      </c>
      <c r="B727" s="18" t="s">
        <v>103</v>
      </c>
      <c r="C727" s="18" t="s">
        <v>129</v>
      </c>
      <c r="D727" s="18" t="s">
        <v>52</v>
      </c>
      <c r="E727" s="18" t="s">
        <v>54</v>
      </c>
      <c r="F727" s="18" t="s">
        <v>22</v>
      </c>
      <c r="G727" s="20">
        <f>174.4-16.5+0.2-2.8</f>
        <v>155.29999999999998</v>
      </c>
    </row>
    <row r="728" spans="1:7" s="2" customFormat="1" ht="15.6" customHeight="1" x14ac:dyDescent="0.25">
      <c r="A728" s="38" t="s">
        <v>24</v>
      </c>
      <c r="B728" s="18" t="s">
        <v>103</v>
      </c>
      <c r="C728" s="18" t="s">
        <v>129</v>
      </c>
      <c r="D728" s="18" t="s">
        <v>52</v>
      </c>
      <c r="E728" s="18" t="s">
        <v>54</v>
      </c>
      <c r="F728" s="18" t="s">
        <v>25</v>
      </c>
      <c r="G728" s="20">
        <f>21+6-2</f>
        <v>25</v>
      </c>
    </row>
    <row r="729" spans="1:7" s="2" customFormat="1" ht="45.6" customHeight="1" x14ac:dyDescent="0.25">
      <c r="A729" s="40" t="s">
        <v>46</v>
      </c>
      <c r="B729" s="18" t="s">
        <v>103</v>
      </c>
      <c r="C729" s="18" t="s">
        <v>129</v>
      </c>
      <c r="D729" s="18" t="s">
        <v>52</v>
      </c>
      <c r="E729" s="18" t="s">
        <v>104</v>
      </c>
      <c r="F729" s="18"/>
      <c r="G729" s="20">
        <f>SUM(G730:G731)</f>
        <v>3080.6</v>
      </c>
    </row>
    <row r="730" spans="1:7" s="2" customFormat="1" ht="32.4" customHeight="1" x14ac:dyDescent="0.25">
      <c r="A730" s="38" t="s">
        <v>19</v>
      </c>
      <c r="B730" s="18" t="s">
        <v>103</v>
      </c>
      <c r="C730" s="18" t="s">
        <v>129</v>
      </c>
      <c r="D730" s="18" t="s">
        <v>52</v>
      </c>
      <c r="E730" s="18" t="s">
        <v>104</v>
      </c>
      <c r="F730" s="18" t="s">
        <v>20</v>
      </c>
      <c r="G730" s="20">
        <f>2631.2+26.4</f>
        <v>2657.6</v>
      </c>
    </row>
    <row r="731" spans="1:7" s="2" customFormat="1" ht="30" customHeight="1" x14ac:dyDescent="0.25">
      <c r="A731" s="38" t="s">
        <v>153</v>
      </c>
      <c r="B731" s="18" t="s">
        <v>103</v>
      </c>
      <c r="C731" s="18" t="s">
        <v>129</v>
      </c>
      <c r="D731" s="18" t="s">
        <v>52</v>
      </c>
      <c r="E731" s="18" t="s">
        <v>104</v>
      </c>
      <c r="F731" s="18" t="s">
        <v>22</v>
      </c>
      <c r="G731" s="20">
        <v>423</v>
      </c>
    </row>
    <row r="732" spans="1:7" s="2" customFormat="1" ht="16.2" customHeight="1" x14ac:dyDescent="0.25">
      <c r="A732" s="53" t="s">
        <v>29</v>
      </c>
      <c r="B732" s="18" t="s">
        <v>78</v>
      </c>
      <c r="C732" s="18"/>
      <c r="D732" s="18"/>
      <c r="E732" s="18"/>
      <c r="F732" s="18"/>
      <c r="G732" s="20">
        <f>SUM(G733)</f>
        <v>1687.8000000000002</v>
      </c>
    </row>
    <row r="733" spans="1:7" s="2" customFormat="1" ht="31.5" customHeight="1" x14ac:dyDescent="0.25">
      <c r="A733" s="43" t="s">
        <v>79</v>
      </c>
      <c r="B733" s="18" t="s">
        <v>78</v>
      </c>
      <c r="C733" s="18" t="s">
        <v>81</v>
      </c>
      <c r="D733" s="18"/>
      <c r="E733" s="18"/>
      <c r="F733" s="18"/>
      <c r="G733" s="20">
        <f>SUM(G734)</f>
        <v>1687.8000000000002</v>
      </c>
    </row>
    <row r="734" spans="1:7" s="2" customFormat="1" ht="52.95" customHeight="1" x14ac:dyDescent="0.25">
      <c r="A734" s="53" t="s">
        <v>30</v>
      </c>
      <c r="B734" s="18" t="s">
        <v>78</v>
      </c>
      <c r="C734" s="18" t="s">
        <v>81</v>
      </c>
      <c r="D734" s="18" t="s">
        <v>52</v>
      </c>
      <c r="E734" s="18" t="s">
        <v>80</v>
      </c>
      <c r="F734" s="18"/>
      <c r="G734" s="20">
        <f>SUM(G735:G735)</f>
        <v>1687.8000000000002</v>
      </c>
    </row>
    <row r="735" spans="1:7" s="2" customFormat="1" ht="39.6" customHeight="1" x14ac:dyDescent="0.25">
      <c r="A735" s="38" t="s">
        <v>153</v>
      </c>
      <c r="B735" s="18" t="s">
        <v>78</v>
      </c>
      <c r="C735" s="18" t="s">
        <v>81</v>
      </c>
      <c r="D735" s="18" t="s">
        <v>52</v>
      </c>
      <c r="E735" s="18" t="s">
        <v>80</v>
      </c>
      <c r="F735" s="18" t="s">
        <v>22</v>
      </c>
      <c r="G735" s="20">
        <f>396.4+1230.4+71.8-10.8</f>
        <v>1687.8000000000002</v>
      </c>
    </row>
    <row r="736" spans="1:7" s="2" customFormat="1" ht="21" customHeight="1" x14ac:dyDescent="0.25">
      <c r="A736" s="40" t="s">
        <v>27</v>
      </c>
      <c r="B736" s="18" t="s">
        <v>72</v>
      </c>
      <c r="C736" s="18"/>
      <c r="D736" s="18"/>
      <c r="E736" s="18"/>
      <c r="F736" s="18"/>
      <c r="G736" s="20">
        <f>SUM(G737)</f>
        <v>279.39999999999998</v>
      </c>
    </row>
    <row r="737" spans="1:7" s="2" customFormat="1" x14ac:dyDescent="0.25">
      <c r="A737" s="40" t="s">
        <v>49</v>
      </c>
      <c r="B737" s="18" t="s">
        <v>72</v>
      </c>
      <c r="C737" s="18" t="s">
        <v>81</v>
      </c>
      <c r="D737" s="18" t="s">
        <v>52</v>
      </c>
      <c r="E737" s="18"/>
      <c r="F737" s="18"/>
      <c r="G737" s="20">
        <f>SUM(G738)</f>
        <v>279.39999999999998</v>
      </c>
    </row>
    <row r="738" spans="1:7" s="2" customFormat="1" x14ac:dyDescent="0.25">
      <c r="A738" s="40" t="s">
        <v>6</v>
      </c>
      <c r="B738" s="18" t="s">
        <v>72</v>
      </c>
      <c r="C738" s="18" t="s">
        <v>81</v>
      </c>
      <c r="D738" s="18" t="s">
        <v>52</v>
      </c>
      <c r="E738" s="18" t="s">
        <v>73</v>
      </c>
      <c r="F738" s="18"/>
      <c r="G738" s="20">
        <f>SUM(G739:G739)</f>
        <v>279.39999999999998</v>
      </c>
    </row>
    <row r="739" spans="1:7" s="2" customFormat="1" ht="31.2" x14ac:dyDescent="0.25">
      <c r="A739" s="38" t="s">
        <v>153</v>
      </c>
      <c r="B739" s="18" t="s">
        <v>72</v>
      </c>
      <c r="C739" s="18" t="s">
        <v>81</v>
      </c>
      <c r="D739" s="18" t="s">
        <v>52</v>
      </c>
      <c r="E739" s="18" t="s">
        <v>73</v>
      </c>
      <c r="F739" s="18" t="s">
        <v>22</v>
      </c>
      <c r="G739" s="20">
        <v>279.39999999999998</v>
      </c>
    </row>
    <row r="740" spans="1:7" s="2" customFormat="1" ht="23.4" customHeight="1" x14ac:dyDescent="0.25">
      <c r="A740" s="62" t="s">
        <v>475</v>
      </c>
      <c r="B740" s="63"/>
      <c r="C740" s="63"/>
      <c r="D740" s="63"/>
      <c r="E740" s="63"/>
      <c r="F740" s="63"/>
      <c r="G740" s="63"/>
    </row>
    <row r="741" spans="1:7" s="2" customFormat="1" ht="13.2" customHeight="1" x14ac:dyDescent="0.25">
      <c r="A741" s="12"/>
      <c r="B741" s="13"/>
      <c r="C741" s="13"/>
      <c r="D741" s="13"/>
      <c r="E741" s="13"/>
      <c r="F741" s="13"/>
      <c r="G741" s="14"/>
    </row>
    <row r="742" spans="1:7" s="2" customFormat="1" ht="69" customHeight="1" x14ac:dyDescent="0.35">
      <c r="A742" s="15" t="s">
        <v>511</v>
      </c>
      <c r="B742" s="16"/>
      <c r="C742" s="10"/>
      <c r="D742" s="9"/>
      <c r="E742" s="57" t="s">
        <v>512</v>
      </c>
      <c r="F742" s="57"/>
      <c r="G742" s="57"/>
    </row>
    <row r="743" spans="1:7" s="2" customFormat="1" ht="32.4" customHeight="1" x14ac:dyDescent="0.35">
      <c r="A743" s="15"/>
      <c r="B743" s="16"/>
      <c r="C743" s="10"/>
      <c r="D743" s="9"/>
      <c r="E743" s="9"/>
      <c r="F743" s="9"/>
      <c r="G743" s="23"/>
    </row>
    <row r="744" spans="1:7" s="2" customFormat="1" ht="32.4" customHeight="1" x14ac:dyDescent="0.35">
      <c r="A744" s="17" t="s">
        <v>207</v>
      </c>
      <c r="B744" s="9"/>
      <c r="C744" s="10"/>
      <c r="D744" s="9"/>
      <c r="E744" s="9"/>
      <c r="F744" s="9"/>
      <c r="G744" s="11"/>
    </row>
    <row r="745" spans="1:7" s="2" customFormat="1" ht="78.599999999999994" customHeight="1" x14ac:dyDescent="0.25">
      <c r="A745" s="5"/>
      <c r="B745" s="7"/>
      <c r="C745" s="6"/>
      <c r="D745" s="7"/>
      <c r="E745" s="7"/>
      <c r="F745" s="7"/>
      <c r="G745" s="8"/>
    </row>
    <row r="746" spans="1:7" s="2" customFormat="1" ht="33.6" customHeight="1" x14ac:dyDescent="0.25">
      <c r="A746" s="4"/>
      <c r="B746" s="7"/>
      <c r="C746" s="6"/>
      <c r="D746" s="7"/>
      <c r="E746" s="7"/>
      <c r="F746" s="7"/>
      <c r="G746" s="8"/>
    </row>
    <row r="747" spans="1:7" s="2" customFormat="1" ht="22.5" customHeight="1" x14ac:dyDescent="0.25">
      <c r="A747" s="4"/>
      <c r="B747" s="7"/>
      <c r="C747" s="6"/>
      <c r="D747" s="7"/>
      <c r="E747" s="7"/>
      <c r="F747" s="7"/>
      <c r="G747" s="8"/>
    </row>
    <row r="748" spans="1:7" s="2" customFormat="1" ht="21.75" customHeight="1" x14ac:dyDescent="0.25">
      <c r="A748" s="4"/>
      <c r="B748" s="7"/>
      <c r="C748" s="6"/>
      <c r="D748" s="7"/>
      <c r="E748" s="7"/>
      <c r="F748" s="7"/>
      <c r="G748" s="8"/>
    </row>
    <row r="749" spans="1:7" s="2" customFormat="1" ht="32.25" customHeight="1" x14ac:dyDescent="0.25">
      <c r="A749" s="4"/>
      <c r="B749" s="7"/>
      <c r="C749" s="6"/>
      <c r="D749" s="7"/>
      <c r="E749" s="7"/>
      <c r="F749" s="7"/>
      <c r="G749" s="8"/>
    </row>
    <row r="750" spans="1:7" s="2" customFormat="1" ht="19.2" customHeight="1" x14ac:dyDescent="0.25">
      <c r="A750" s="4"/>
      <c r="B750" s="7"/>
      <c r="C750" s="6"/>
      <c r="D750" s="7"/>
      <c r="E750" s="7"/>
      <c r="F750" s="7"/>
      <c r="G750" s="8"/>
    </row>
    <row r="751" spans="1:7" s="2" customFormat="1" x14ac:dyDescent="0.25">
      <c r="A751" s="4"/>
      <c r="B751" s="7"/>
      <c r="C751" s="6"/>
      <c r="D751" s="7"/>
      <c r="E751" s="7"/>
      <c r="F751" s="7"/>
      <c r="G751" s="8"/>
    </row>
    <row r="752" spans="1:7" s="2" customFormat="1" ht="33.75" customHeight="1" x14ac:dyDescent="0.25">
      <c r="A752" s="4"/>
      <c r="B752" s="7"/>
      <c r="C752" s="6"/>
      <c r="D752" s="7"/>
      <c r="E752" s="7"/>
      <c r="F752" s="7"/>
      <c r="G752" s="8"/>
    </row>
    <row r="753" spans="1:7" s="2" customFormat="1" ht="36.6" customHeight="1" x14ac:dyDescent="0.25">
      <c r="A753" s="4"/>
      <c r="B753" s="7"/>
      <c r="C753" s="6"/>
      <c r="D753" s="7"/>
      <c r="E753" s="7"/>
      <c r="F753" s="6"/>
      <c r="G753" s="8"/>
    </row>
    <row r="754" spans="1:7" s="2" customFormat="1" ht="15.6" customHeight="1" x14ac:dyDescent="0.25">
      <c r="A754" s="4"/>
      <c r="B754" s="7"/>
      <c r="C754" s="6"/>
      <c r="D754" s="7"/>
      <c r="E754" s="7"/>
      <c r="F754" s="6"/>
      <c r="G754" s="8"/>
    </row>
    <row r="755" spans="1:7" s="2" customFormat="1" ht="45.75" customHeight="1" x14ac:dyDescent="0.25">
      <c r="A755" s="4"/>
      <c r="B755" s="7"/>
      <c r="C755" s="6"/>
      <c r="D755" s="7"/>
      <c r="E755" s="7"/>
      <c r="F755" s="7"/>
      <c r="G755" s="8"/>
    </row>
    <row r="756" spans="1:7" s="2" customFormat="1" ht="33" customHeight="1" x14ac:dyDescent="0.25">
      <c r="A756" s="4"/>
      <c r="B756" s="7"/>
      <c r="C756" s="6"/>
      <c r="D756" s="7"/>
      <c r="E756" s="7"/>
      <c r="F756" s="6"/>
      <c r="G756" s="8"/>
    </row>
    <row r="757" spans="1:7" s="2" customFormat="1" ht="32.25" customHeight="1" x14ac:dyDescent="0.25">
      <c r="A757" s="4"/>
      <c r="B757" s="7"/>
      <c r="C757" s="6"/>
      <c r="D757" s="7"/>
      <c r="E757" s="7"/>
      <c r="F757" s="7"/>
      <c r="G757" s="8"/>
    </row>
    <row r="758" spans="1:7" ht="18.600000000000001" customHeight="1" x14ac:dyDescent="0.25"/>
    <row r="760" spans="1:7" ht="53.25" customHeight="1" x14ac:dyDescent="0.25"/>
    <row r="761" spans="1:7" ht="36" customHeight="1" x14ac:dyDescent="0.25"/>
    <row r="762" spans="1:7" ht="18" customHeight="1" x14ac:dyDescent="0.25"/>
    <row r="763" spans="1:7" ht="19.2" customHeight="1" x14ac:dyDescent="0.25">
      <c r="B763" s="1"/>
      <c r="C763" s="1"/>
      <c r="D763" s="1"/>
      <c r="E763" s="1"/>
      <c r="F763" s="6"/>
      <c r="G763" s="1"/>
    </row>
    <row r="764" spans="1:7" ht="21" customHeight="1" x14ac:dyDescent="0.25">
      <c r="A764" s="1"/>
    </row>
    <row r="765" spans="1:7" ht="36.75" customHeight="1" x14ac:dyDescent="0.25"/>
    <row r="766" spans="1:7" ht="21.6" customHeight="1" x14ac:dyDescent="0.25">
      <c r="B766" s="1"/>
      <c r="C766" s="1"/>
      <c r="D766" s="1"/>
      <c r="E766" s="1"/>
      <c r="F766" s="6"/>
      <c r="G766" s="1"/>
    </row>
    <row r="767" spans="1:7" ht="6.6" customHeight="1" x14ac:dyDescent="0.25">
      <c r="A767" s="1"/>
    </row>
    <row r="768" spans="1:7" ht="58.95" customHeight="1" x14ac:dyDescent="0.25"/>
    <row r="769" spans="1:9" ht="18" x14ac:dyDescent="0.35">
      <c r="H769" s="23"/>
      <c r="I769" s="23"/>
    </row>
    <row r="772" spans="1:9" ht="37.5" customHeight="1" x14ac:dyDescent="0.25"/>
    <row r="773" spans="1:9" ht="23.25" customHeight="1" x14ac:dyDescent="0.25">
      <c r="B773" s="1"/>
      <c r="C773" s="1"/>
      <c r="D773" s="1"/>
      <c r="E773" s="1"/>
      <c r="F773" s="6"/>
      <c r="G773" s="1"/>
    </row>
    <row r="774" spans="1:9" x14ac:dyDescent="0.25">
      <c r="A774" s="1"/>
    </row>
    <row r="775" spans="1:9" ht="24.75" customHeight="1" x14ac:dyDescent="0.25"/>
    <row r="777" spans="1:9" x14ac:dyDescent="0.25">
      <c r="B777" s="1"/>
      <c r="C777" s="1"/>
      <c r="D777" s="1"/>
      <c r="E777" s="1"/>
      <c r="G777" s="1"/>
    </row>
    <row r="778" spans="1:9" x14ac:dyDescent="0.25">
      <c r="A778" s="1"/>
      <c r="B778" s="1"/>
      <c r="C778" s="1"/>
      <c r="D778" s="1"/>
      <c r="E778" s="1"/>
      <c r="G778" s="1"/>
    </row>
    <row r="779" spans="1:9" x14ac:dyDescent="0.25">
      <c r="A779" s="1"/>
      <c r="B779" s="1"/>
      <c r="C779" s="1"/>
      <c r="D779" s="1"/>
      <c r="E779" s="1"/>
      <c r="G779" s="1"/>
    </row>
    <row r="780" spans="1:9" x14ac:dyDescent="0.25">
      <c r="A780" s="1"/>
      <c r="B780" s="1"/>
      <c r="C780" s="1"/>
      <c r="D780" s="1"/>
      <c r="E780" s="1"/>
      <c r="G780" s="1"/>
    </row>
    <row r="781" spans="1:9" x14ac:dyDescent="0.25">
      <c r="A781" s="1"/>
      <c r="B781" s="1"/>
      <c r="C781" s="1"/>
      <c r="D781" s="1"/>
      <c r="E781" s="1"/>
      <c r="G781" s="1"/>
    </row>
    <row r="782" spans="1:9" ht="21.75" customHeight="1" x14ac:dyDescent="0.25">
      <c r="A782" s="1"/>
    </row>
    <row r="784" spans="1:9" x14ac:dyDescent="0.25">
      <c r="B784" s="1"/>
      <c r="C784" s="1"/>
      <c r="D784" s="1"/>
      <c r="E784" s="1"/>
      <c r="F784" s="6"/>
      <c r="G784" s="1"/>
    </row>
    <row r="785" spans="1:7" ht="23.25" customHeight="1" x14ac:dyDescent="0.25">
      <c r="A785" s="1"/>
      <c r="B785" s="1"/>
      <c r="C785" s="1"/>
      <c r="D785" s="1"/>
      <c r="E785" s="1"/>
      <c r="F785" s="6"/>
      <c r="G785" s="1"/>
    </row>
    <row r="786" spans="1:7" x14ac:dyDescent="0.25">
      <c r="A786" s="1"/>
      <c r="B786" s="1"/>
      <c r="C786" s="1"/>
      <c r="D786" s="1"/>
      <c r="E786" s="1"/>
      <c r="F786" s="6"/>
      <c r="G786" s="1"/>
    </row>
    <row r="787" spans="1:7" x14ac:dyDescent="0.25">
      <c r="A787" s="1"/>
      <c r="B787" s="1"/>
      <c r="C787" s="1"/>
      <c r="D787" s="1"/>
      <c r="E787" s="1"/>
      <c r="F787" s="6"/>
      <c r="G787" s="1"/>
    </row>
    <row r="788" spans="1:7" x14ac:dyDescent="0.25">
      <c r="A788" s="1"/>
      <c r="B788" s="1"/>
      <c r="C788" s="1"/>
      <c r="D788" s="1"/>
      <c r="E788" s="1"/>
      <c r="F788" s="6"/>
      <c r="G788" s="1"/>
    </row>
    <row r="789" spans="1:7" x14ac:dyDescent="0.25">
      <c r="A789" s="1"/>
    </row>
    <row r="790" spans="1:7" x14ac:dyDescent="0.25">
      <c r="B790" s="1"/>
      <c r="C790" s="1"/>
      <c r="D790" s="1"/>
      <c r="E790" s="1"/>
      <c r="G790" s="1"/>
    </row>
    <row r="791" spans="1:7" x14ac:dyDescent="0.25">
      <c r="A791" s="1"/>
    </row>
    <row r="792" spans="1:7" ht="24" customHeight="1" x14ac:dyDescent="0.25"/>
    <row r="794" spans="1:7" x14ac:dyDescent="0.25">
      <c r="B794" s="1"/>
      <c r="C794" s="1"/>
      <c r="D794" s="1"/>
      <c r="E794" s="1"/>
      <c r="G794" s="1"/>
    </row>
    <row r="795" spans="1:7" x14ac:dyDescent="0.25">
      <c r="A795" s="1"/>
    </row>
    <row r="796" spans="1:7" x14ac:dyDescent="0.25">
      <c r="B796" s="1"/>
      <c r="C796" s="1"/>
      <c r="D796" s="1"/>
      <c r="E796" s="1"/>
      <c r="G796" s="1"/>
    </row>
    <row r="797" spans="1:7" x14ac:dyDescent="0.25">
      <c r="A797" s="1"/>
      <c r="B797" s="1"/>
      <c r="C797" s="1"/>
      <c r="D797" s="1"/>
      <c r="E797" s="1"/>
      <c r="F797" s="6"/>
      <c r="G797" s="1"/>
    </row>
    <row r="798" spans="1:7" x14ac:dyDescent="0.25">
      <c r="A798" s="1"/>
      <c r="B798" s="1"/>
      <c r="C798" s="1"/>
      <c r="D798" s="1"/>
      <c r="E798" s="1"/>
      <c r="G798" s="1"/>
    </row>
    <row r="799" spans="1:7" x14ac:dyDescent="0.25">
      <c r="A799" s="1"/>
      <c r="B799" s="1"/>
      <c r="C799" s="1"/>
      <c r="D799" s="1"/>
      <c r="E799" s="1"/>
      <c r="G799" s="1"/>
    </row>
    <row r="800" spans="1:7" x14ac:dyDescent="0.25">
      <c r="A800" s="1"/>
    </row>
    <row r="801" spans="1:7" x14ac:dyDescent="0.25">
      <c r="B801" s="1"/>
      <c r="C801" s="1"/>
      <c r="D801" s="1"/>
      <c r="E801" s="1"/>
      <c r="F801" s="6"/>
      <c r="G801" s="1"/>
    </row>
    <row r="802" spans="1:7" x14ac:dyDescent="0.25">
      <c r="A802" s="1"/>
      <c r="B802" s="1"/>
      <c r="C802" s="1"/>
      <c r="D802" s="1"/>
      <c r="E802" s="1"/>
      <c r="G802" s="1"/>
    </row>
    <row r="803" spans="1:7" ht="18.75" customHeight="1" x14ac:dyDescent="0.25">
      <c r="A803" s="1"/>
      <c r="B803" s="1"/>
      <c r="C803" s="1"/>
      <c r="D803" s="1"/>
      <c r="E803" s="1"/>
      <c r="F803" s="6"/>
      <c r="G803" s="1"/>
    </row>
    <row r="804" spans="1:7" ht="18.75" customHeight="1" x14ac:dyDescent="0.25">
      <c r="A804" s="1"/>
    </row>
    <row r="805" spans="1:7" ht="15.75" customHeight="1" x14ac:dyDescent="0.25">
      <c r="B805" s="1"/>
      <c r="C805" s="1"/>
      <c r="D805" s="1"/>
      <c r="E805" s="1"/>
      <c r="F805" s="6"/>
      <c r="G805" s="1"/>
    </row>
    <row r="806" spans="1:7" ht="24" customHeight="1" x14ac:dyDescent="0.25">
      <c r="A806" s="1"/>
      <c r="B806" s="1"/>
      <c r="C806" s="1"/>
      <c r="D806" s="1"/>
      <c r="E806" s="1"/>
      <c r="F806" s="6"/>
      <c r="G806" s="1"/>
    </row>
    <row r="807" spans="1:7" ht="18" customHeight="1" x14ac:dyDescent="0.25">
      <c r="A807" s="1"/>
      <c r="B807" s="1"/>
      <c r="C807" s="1"/>
      <c r="D807" s="1"/>
      <c r="E807" s="1"/>
      <c r="G807" s="1"/>
    </row>
    <row r="808" spans="1:7" x14ac:dyDescent="0.25">
      <c r="A808" s="1"/>
    </row>
    <row r="809" spans="1:7" x14ac:dyDescent="0.25">
      <c r="B809" s="1"/>
      <c r="C809" s="1"/>
      <c r="D809" s="1"/>
      <c r="E809" s="1"/>
      <c r="F809" s="6"/>
      <c r="G809" s="1"/>
    </row>
    <row r="810" spans="1:7" x14ac:dyDescent="0.25">
      <c r="A810" s="1"/>
      <c r="B810" s="1"/>
      <c r="C810" s="1"/>
      <c r="D810" s="1"/>
      <c r="E810" s="1"/>
      <c r="G810" s="1"/>
    </row>
    <row r="811" spans="1:7" x14ac:dyDescent="0.25">
      <c r="A811" s="1"/>
    </row>
    <row r="812" spans="1:7" x14ac:dyDescent="0.25">
      <c r="B812" s="1"/>
      <c r="C812" s="1"/>
      <c r="D812" s="1"/>
      <c r="E812" s="1"/>
      <c r="F812" s="6"/>
      <c r="G812" s="1"/>
    </row>
    <row r="813" spans="1:7" x14ac:dyDescent="0.25">
      <c r="A813" s="1"/>
      <c r="B813" s="1"/>
      <c r="C813" s="1"/>
      <c r="D813" s="1"/>
      <c r="E813" s="1"/>
      <c r="F813" s="6"/>
      <c r="G813" s="1"/>
    </row>
    <row r="814" spans="1:7" x14ac:dyDescent="0.25">
      <c r="A814" s="1"/>
      <c r="B814" s="1"/>
      <c r="C814" s="1"/>
      <c r="D814" s="1"/>
      <c r="E814" s="1"/>
      <c r="F814" s="6"/>
      <c r="G814" s="1"/>
    </row>
    <row r="815" spans="1:7" x14ac:dyDescent="0.25">
      <c r="A815" s="1"/>
      <c r="B815" s="1"/>
      <c r="C815" s="1"/>
      <c r="D815" s="1"/>
      <c r="E815" s="1"/>
      <c r="G815" s="1"/>
    </row>
    <row r="816" spans="1:7" ht="48.75" customHeight="1" x14ac:dyDescent="0.25">
      <c r="A816" s="1"/>
    </row>
    <row r="817" spans="1:7" x14ac:dyDescent="0.25">
      <c r="B817" s="1"/>
      <c r="C817" s="1"/>
      <c r="D817" s="1"/>
      <c r="E817" s="1"/>
      <c r="F817" s="6"/>
      <c r="G817" s="1"/>
    </row>
    <row r="818" spans="1:7" x14ac:dyDescent="0.25">
      <c r="A818" s="1"/>
    </row>
    <row r="820" spans="1:7" ht="38.25" customHeight="1" x14ac:dyDescent="0.25">
      <c r="B820" s="1"/>
      <c r="C820" s="1"/>
      <c r="D820" s="1"/>
      <c r="E820" s="1"/>
      <c r="G820" s="1"/>
    </row>
    <row r="821" spans="1:7" x14ac:dyDescent="0.25">
      <c r="A821" s="1"/>
    </row>
    <row r="822" spans="1:7" ht="48" customHeight="1" x14ac:dyDescent="0.25">
      <c r="B822" s="1"/>
      <c r="C822" s="1"/>
      <c r="D822" s="1"/>
      <c r="E822" s="1"/>
      <c r="F822" s="6"/>
      <c r="G822" s="1"/>
    </row>
    <row r="823" spans="1:7" x14ac:dyDescent="0.25">
      <c r="A823" s="1"/>
      <c r="B823" s="1"/>
      <c r="C823" s="1"/>
      <c r="D823" s="1"/>
      <c r="E823" s="1"/>
      <c r="G823" s="1"/>
    </row>
    <row r="824" spans="1:7" ht="51" customHeight="1" x14ac:dyDescent="0.25">
      <c r="A824" s="1"/>
      <c r="B824" s="1"/>
      <c r="C824" s="1"/>
      <c r="D824" s="1"/>
      <c r="E824" s="1"/>
      <c r="F824" s="6"/>
      <c r="G824" s="1"/>
    </row>
    <row r="825" spans="1:7" ht="32.25" customHeight="1" x14ac:dyDescent="0.25">
      <c r="A825" s="1"/>
    </row>
    <row r="827" spans="1:7" x14ac:dyDescent="0.25">
      <c r="B827" s="1"/>
      <c r="C827" s="1"/>
      <c r="D827" s="1"/>
      <c r="E827" s="1"/>
      <c r="F827" s="6"/>
      <c r="G827" s="1"/>
    </row>
    <row r="828" spans="1:7" ht="48" customHeight="1" x14ac:dyDescent="0.25">
      <c r="A828" s="1"/>
    </row>
    <row r="829" spans="1:7" x14ac:dyDescent="0.25">
      <c r="B829" s="1"/>
      <c r="C829" s="1"/>
      <c r="D829" s="1"/>
      <c r="E829" s="1"/>
      <c r="F829" s="6"/>
      <c r="G829" s="1"/>
    </row>
    <row r="830" spans="1:7" x14ac:dyDescent="0.25">
      <c r="A830" s="1"/>
      <c r="B830" s="1"/>
      <c r="C830" s="1"/>
      <c r="D830" s="1"/>
      <c r="E830" s="1"/>
      <c r="F830" s="6"/>
      <c r="G830" s="1"/>
    </row>
    <row r="831" spans="1:7" ht="18" customHeight="1" x14ac:dyDescent="0.25">
      <c r="A831" s="1"/>
    </row>
    <row r="832" spans="1:7" ht="50.25" customHeight="1" x14ac:dyDescent="0.25"/>
    <row r="833" spans="1:7" ht="47.25" customHeight="1" x14ac:dyDescent="0.25"/>
    <row r="835" spans="1:7" x14ac:dyDescent="0.25">
      <c r="B835" s="1"/>
      <c r="C835" s="1"/>
      <c r="D835" s="1"/>
      <c r="E835" s="1"/>
      <c r="G835" s="1"/>
    </row>
    <row r="836" spans="1:7" ht="51.75" customHeight="1" x14ac:dyDescent="0.25">
      <c r="A836" s="1"/>
    </row>
    <row r="837" spans="1:7" x14ac:dyDescent="0.25">
      <c r="B837" s="1"/>
      <c r="C837" s="1"/>
      <c r="D837" s="1"/>
      <c r="E837" s="1"/>
      <c r="G837" s="1"/>
    </row>
    <row r="838" spans="1:7" x14ac:dyDescent="0.25">
      <c r="A838" s="1"/>
    </row>
    <row r="839" spans="1:7" x14ac:dyDescent="0.25">
      <c r="B839" s="1"/>
      <c r="C839" s="1"/>
      <c r="D839" s="1"/>
      <c r="E839" s="1"/>
      <c r="G839" s="1"/>
    </row>
    <row r="840" spans="1:7" x14ac:dyDescent="0.25">
      <c r="A840" s="1"/>
    </row>
    <row r="841" spans="1:7" ht="50.25" customHeight="1" x14ac:dyDescent="0.25">
      <c r="B841" s="1"/>
      <c r="C841" s="1"/>
      <c r="D841" s="1"/>
      <c r="E841" s="1"/>
      <c r="G841" s="1"/>
    </row>
    <row r="842" spans="1:7" x14ac:dyDescent="0.25">
      <c r="A842" s="1"/>
      <c r="B842" s="1"/>
      <c r="C842" s="1"/>
      <c r="D842" s="1"/>
      <c r="E842" s="1"/>
      <c r="F842" s="6"/>
      <c r="G842" s="1"/>
    </row>
    <row r="843" spans="1:7" ht="32.25" customHeight="1" x14ac:dyDescent="0.25">
      <c r="A843" s="1"/>
    </row>
    <row r="844" spans="1:7" x14ac:dyDescent="0.25">
      <c r="B844" s="1"/>
      <c r="C844" s="1"/>
      <c r="D844" s="1"/>
      <c r="E844" s="1"/>
      <c r="F844" s="6"/>
      <c r="G844" s="1"/>
    </row>
    <row r="845" spans="1:7" x14ac:dyDescent="0.25">
      <c r="A845" s="1"/>
      <c r="B845" s="1"/>
      <c r="C845" s="1"/>
      <c r="D845" s="1"/>
      <c r="E845" s="1"/>
      <c r="G845" s="1"/>
    </row>
    <row r="846" spans="1:7" ht="53.25" customHeight="1" x14ac:dyDescent="0.25">
      <c r="A846" s="1"/>
      <c r="B846" s="1"/>
      <c r="C846" s="1"/>
      <c r="D846" s="1"/>
      <c r="E846" s="1"/>
      <c r="F846" s="6"/>
      <c r="G846" s="1"/>
    </row>
    <row r="847" spans="1:7" x14ac:dyDescent="0.25">
      <c r="A847" s="1"/>
    </row>
    <row r="848" spans="1:7" ht="66" customHeight="1" x14ac:dyDescent="0.25">
      <c r="B848" s="1"/>
      <c r="C848" s="1"/>
      <c r="D848" s="1"/>
      <c r="E848" s="1"/>
      <c r="F848" s="6"/>
      <c r="G848" s="1"/>
    </row>
    <row r="849" spans="1:7" ht="51" customHeight="1" x14ac:dyDescent="0.25">
      <c r="A849" s="1"/>
      <c r="B849" s="1"/>
      <c r="C849" s="1"/>
      <c r="D849" s="1"/>
      <c r="E849" s="1"/>
      <c r="F849" s="6"/>
      <c r="G849" s="1"/>
    </row>
    <row r="850" spans="1:7" x14ac:dyDescent="0.25">
      <c r="A850" s="1"/>
    </row>
    <row r="851" spans="1:7" x14ac:dyDescent="0.25">
      <c r="B851" s="1"/>
      <c r="C851" s="1"/>
      <c r="D851" s="1"/>
      <c r="E851" s="1"/>
      <c r="F851" s="6"/>
      <c r="G851" s="1"/>
    </row>
    <row r="852" spans="1:7" x14ac:dyDescent="0.25">
      <c r="A852" s="1"/>
      <c r="B852" s="1"/>
      <c r="C852" s="1"/>
      <c r="D852" s="1"/>
      <c r="E852" s="1"/>
      <c r="F852" s="6"/>
      <c r="G852" s="1"/>
    </row>
    <row r="853" spans="1:7" x14ac:dyDescent="0.25">
      <c r="A853" s="1"/>
    </row>
    <row r="859" spans="1:7" x14ac:dyDescent="0.25">
      <c r="B859" s="1"/>
      <c r="C859" s="1"/>
      <c r="D859" s="1"/>
      <c r="E859" s="1"/>
      <c r="F859" s="6"/>
      <c r="G859" s="1"/>
    </row>
    <row r="860" spans="1:7" x14ac:dyDescent="0.25">
      <c r="A860" s="1"/>
    </row>
    <row r="861" spans="1:7" ht="115.5" customHeight="1" x14ac:dyDescent="0.25">
      <c r="B861" s="1"/>
      <c r="C861" s="1"/>
      <c r="D861" s="1"/>
      <c r="E861" s="1"/>
      <c r="G861" s="1"/>
    </row>
    <row r="862" spans="1:7" x14ac:dyDescent="0.25">
      <c r="A862" s="1"/>
      <c r="B862" s="1"/>
      <c r="C862" s="1"/>
      <c r="D862" s="1"/>
      <c r="E862" s="1"/>
      <c r="G862" s="1"/>
    </row>
    <row r="863" spans="1:7" ht="131.25" customHeight="1" x14ac:dyDescent="0.25">
      <c r="A863" s="1"/>
      <c r="B863" s="1"/>
      <c r="C863" s="1"/>
      <c r="D863" s="1"/>
      <c r="E863" s="1"/>
      <c r="G863" s="1"/>
    </row>
    <row r="864" spans="1:7" x14ac:dyDescent="0.25">
      <c r="A864" s="1"/>
      <c r="B864" s="1"/>
      <c r="C864" s="1"/>
      <c r="D864" s="1"/>
      <c r="E864" s="1"/>
      <c r="G864" s="1"/>
    </row>
    <row r="865" spans="1:7" ht="38.25" customHeight="1" x14ac:dyDescent="0.25">
      <c r="A865" s="1"/>
    </row>
    <row r="867" spans="1:7" ht="78" customHeight="1" x14ac:dyDescent="0.25"/>
    <row r="868" spans="1:7" ht="22.5" customHeight="1" x14ac:dyDescent="0.25">
      <c r="B868" s="1"/>
      <c r="C868" s="1"/>
      <c r="D868" s="1"/>
      <c r="E868" s="1"/>
      <c r="F868" s="6"/>
      <c r="G868" s="1"/>
    </row>
    <row r="869" spans="1:7" x14ac:dyDescent="0.25">
      <c r="A869" s="1"/>
      <c r="B869" s="1"/>
      <c r="C869" s="1"/>
      <c r="D869" s="1"/>
      <c r="E869" s="1"/>
      <c r="F869" s="6"/>
      <c r="G869" s="1"/>
    </row>
    <row r="870" spans="1:7" ht="24" customHeight="1" x14ac:dyDescent="0.25">
      <c r="A870" s="1"/>
      <c r="B870" s="1"/>
      <c r="C870" s="1"/>
      <c r="D870" s="1"/>
      <c r="E870" s="1"/>
      <c r="F870" s="6"/>
      <c r="G870" s="1"/>
    </row>
    <row r="871" spans="1:7" ht="66" customHeight="1" x14ac:dyDescent="0.25">
      <c r="A871" s="1"/>
      <c r="B871" s="1"/>
      <c r="C871" s="1"/>
      <c r="D871" s="1"/>
      <c r="E871" s="1"/>
      <c r="F871" s="6"/>
      <c r="G871" s="1"/>
    </row>
    <row r="872" spans="1:7" x14ac:dyDescent="0.25">
      <c r="A872" s="1"/>
    </row>
    <row r="875" spans="1:7" x14ac:dyDescent="0.25">
      <c r="B875" s="1"/>
      <c r="C875" s="1"/>
      <c r="D875" s="1"/>
      <c r="E875" s="1"/>
      <c r="F875" s="6"/>
      <c r="G875" s="1"/>
    </row>
    <row r="876" spans="1:7" x14ac:dyDescent="0.25">
      <c r="A876" s="1"/>
      <c r="B876" s="1"/>
      <c r="C876" s="1"/>
      <c r="D876" s="1"/>
      <c r="E876" s="1"/>
      <c r="F876" s="6"/>
      <c r="G876" s="1"/>
    </row>
    <row r="877" spans="1:7" x14ac:dyDescent="0.25">
      <c r="A877" s="1"/>
    </row>
    <row r="878" spans="1:7" ht="18" customHeight="1" x14ac:dyDescent="0.25"/>
    <row r="879" spans="1:7" x14ac:dyDescent="0.25">
      <c r="B879" s="1"/>
      <c r="C879" s="1"/>
      <c r="D879" s="1"/>
      <c r="E879" s="1"/>
      <c r="G879" s="1"/>
    </row>
    <row r="880" spans="1:7" x14ac:dyDescent="0.25">
      <c r="A880" s="1"/>
    </row>
    <row r="886" spans="1:7" x14ac:dyDescent="0.25">
      <c r="B886" s="1"/>
      <c r="C886" s="1"/>
      <c r="D886" s="1"/>
      <c r="E886" s="1"/>
      <c r="F886" s="6"/>
      <c r="G886" s="1"/>
    </row>
    <row r="887" spans="1:7" ht="22.5" customHeight="1" x14ac:dyDescent="0.25">
      <c r="A887" s="1"/>
    </row>
    <row r="888" spans="1:7" ht="48" customHeight="1" x14ac:dyDescent="0.25"/>
    <row r="889" spans="1:7" ht="21" customHeight="1" x14ac:dyDescent="0.25">
      <c r="B889" s="1"/>
      <c r="C889" s="1"/>
      <c r="D889" s="1"/>
      <c r="E889" s="1"/>
      <c r="G889" s="1"/>
    </row>
    <row r="890" spans="1:7" ht="51" customHeight="1" x14ac:dyDescent="0.25">
      <c r="A890" s="1"/>
    </row>
    <row r="893" spans="1:7" x14ac:dyDescent="0.25">
      <c r="B893" s="1"/>
      <c r="C893" s="1"/>
      <c r="D893" s="1"/>
      <c r="E893" s="1"/>
      <c r="G893" s="1"/>
    </row>
    <row r="894" spans="1:7" ht="28.5" customHeight="1" x14ac:dyDescent="0.25">
      <c r="A894" s="1"/>
    </row>
    <row r="895" spans="1:7" ht="23.25" customHeight="1" x14ac:dyDescent="0.25"/>
    <row r="896" spans="1:7" x14ac:dyDescent="0.25">
      <c r="B896" s="1"/>
      <c r="C896" s="1"/>
      <c r="D896" s="1"/>
      <c r="E896" s="1"/>
      <c r="F896" s="6"/>
      <c r="G896" s="1"/>
    </row>
    <row r="897" spans="1:7" x14ac:dyDescent="0.25">
      <c r="A897" s="1"/>
      <c r="B897" s="1"/>
      <c r="C897" s="1"/>
      <c r="D897" s="1"/>
      <c r="E897" s="1"/>
      <c r="G897" s="1"/>
    </row>
    <row r="898" spans="1:7" x14ac:dyDescent="0.25">
      <c r="A898" s="1"/>
    </row>
    <row r="900" spans="1:7" x14ac:dyDescent="0.25">
      <c r="B900" s="1"/>
      <c r="C900" s="1"/>
      <c r="D900" s="1"/>
      <c r="E900" s="1"/>
      <c r="F900" s="6"/>
      <c r="G900" s="1"/>
    </row>
    <row r="901" spans="1:7" x14ac:dyDescent="0.25">
      <c r="A901" s="1"/>
    </row>
    <row r="902" spans="1:7" x14ac:dyDescent="0.25">
      <c r="B902" s="1"/>
      <c r="C902" s="1"/>
      <c r="D902" s="1"/>
      <c r="E902" s="1"/>
      <c r="G902" s="1"/>
    </row>
    <row r="903" spans="1:7" x14ac:dyDescent="0.25">
      <c r="A903" s="1"/>
    </row>
    <row r="904" spans="1:7" x14ac:dyDescent="0.25">
      <c r="B904" s="1"/>
      <c r="C904" s="1"/>
      <c r="D904" s="1"/>
      <c r="E904" s="1"/>
      <c r="F904" s="6"/>
      <c r="G904" s="1"/>
    </row>
    <row r="905" spans="1:7" ht="27" customHeight="1" x14ac:dyDescent="0.25">
      <c r="A905" s="1"/>
    </row>
    <row r="907" spans="1:7" x14ac:dyDescent="0.25">
      <c r="B907" s="1"/>
      <c r="C907" s="1"/>
      <c r="D907" s="1"/>
      <c r="E907" s="1"/>
      <c r="G907" s="1"/>
    </row>
    <row r="908" spans="1:7" x14ac:dyDescent="0.25">
      <c r="A908" s="1"/>
    </row>
    <row r="909" spans="1:7" x14ac:dyDescent="0.25">
      <c r="B909" s="1"/>
      <c r="C909" s="1"/>
      <c r="D909" s="1"/>
      <c r="E909" s="1"/>
      <c r="F909" s="6"/>
      <c r="G909" s="1"/>
    </row>
    <row r="910" spans="1:7" x14ac:dyDescent="0.25">
      <c r="A910" s="1"/>
    </row>
    <row r="912" spans="1:7" x14ac:dyDescent="0.25">
      <c r="B912" s="1"/>
      <c r="C912" s="1"/>
      <c r="D912" s="1"/>
      <c r="E912" s="1"/>
      <c r="G912" s="1"/>
    </row>
    <row r="913" spans="1:7" x14ac:dyDescent="0.25">
      <c r="A913" s="1"/>
    </row>
    <row r="914" spans="1:7" x14ac:dyDescent="0.25">
      <c r="B914" s="1"/>
      <c r="C914" s="1"/>
      <c r="D914" s="1"/>
      <c r="E914" s="1"/>
      <c r="F914" s="6"/>
      <c r="G914" s="1"/>
    </row>
    <row r="915" spans="1:7" ht="53.25" customHeight="1" x14ac:dyDescent="0.25">
      <c r="A915" s="1"/>
      <c r="B915" s="1"/>
      <c r="C915" s="1"/>
      <c r="D915" s="1"/>
      <c r="E915" s="1"/>
      <c r="G915" s="1"/>
    </row>
    <row r="916" spans="1:7" x14ac:dyDescent="0.25">
      <c r="A916" s="1"/>
    </row>
    <row r="917" spans="1:7" x14ac:dyDescent="0.25">
      <c r="B917" s="1"/>
      <c r="C917" s="1"/>
      <c r="D917" s="1"/>
      <c r="E917" s="1"/>
      <c r="G917" s="1"/>
    </row>
    <row r="918" spans="1:7" x14ac:dyDescent="0.25">
      <c r="A918" s="1"/>
    </row>
    <row r="919" spans="1:7" ht="48" customHeight="1" x14ac:dyDescent="0.25">
      <c r="B919" s="1"/>
      <c r="C919" s="1"/>
      <c r="D919" s="1"/>
      <c r="E919" s="1"/>
      <c r="F919" s="6"/>
      <c r="G919" s="1"/>
    </row>
    <row r="920" spans="1:7" x14ac:dyDescent="0.25">
      <c r="A920" s="1"/>
      <c r="B920" s="1"/>
      <c r="C920" s="1"/>
      <c r="D920" s="1"/>
      <c r="E920" s="1"/>
      <c r="G920" s="1"/>
    </row>
    <row r="921" spans="1:7" x14ac:dyDescent="0.25">
      <c r="A921" s="1"/>
      <c r="B921" s="1"/>
      <c r="C921" s="1"/>
      <c r="D921" s="1"/>
      <c r="E921" s="1"/>
      <c r="G921" s="1"/>
    </row>
    <row r="922" spans="1:7" x14ac:dyDescent="0.25">
      <c r="A922" s="1"/>
      <c r="B922" s="1"/>
      <c r="C922" s="1"/>
      <c r="D922" s="1"/>
      <c r="E922" s="1"/>
      <c r="F922" s="6"/>
      <c r="G922" s="1"/>
    </row>
    <row r="923" spans="1:7" ht="19.5" customHeight="1" x14ac:dyDescent="0.25">
      <c r="A923" s="1"/>
    </row>
    <row r="924" spans="1:7" x14ac:dyDescent="0.25">
      <c r="B924" s="1"/>
      <c r="C924" s="1"/>
      <c r="D924" s="1"/>
      <c r="E924" s="1"/>
      <c r="F924" s="6"/>
      <c r="G924" s="1"/>
    </row>
    <row r="925" spans="1:7" x14ac:dyDescent="0.25">
      <c r="A925" s="1"/>
    </row>
    <row r="927" spans="1:7" x14ac:dyDescent="0.25">
      <c r="B927" s="1"/>
      <c r="C927" s="1"/>
      <c r="D927" s="1"/>
      <c r="E927" s="1"/>
      <c r="F927" s="6"/>
      <c r="G927" s="1"/>
    </row>
    <row r="928" spans="1:7" ht="50.25" customHeight="1" x14ac:dyDescent="0.25">
      <c r="A928" s="1"/>
      <c r="B928" s="1"/>
      <c r="C928" s="1"/>
      <c r="D928" s="1"/>
      <c r="E928" s="1"/>
      <c r="F928" s="6"/>
      <c r="G928" s="1"/>
    </row>
    <row r="929" spans="1:7" x14ac:dyDescent="0.25">
      <c r="A929" s="1"/>
      <c r="B929" s="1"/>
      <c r="C929" s="1"/>
      <c r="D929" s="1"/>
      <c r="E929" s="1"/>
      <c r="G929" s="1"/>
    </row>
    <row r="930" spans="1:7" x14ac:dyDescent="0.25">
      <c r="A930" s="1"/>
    </row>
    <row r="933" spans="1:7" ht="48.75" customHeight="1" x14ac:dyDescent="0.25">
      <c r="B933" s="1"/>
      <c r="C933" s="1"/>
      <c r="D933" s="1"/>
      <c r="E933" s="1"/>
      <c r="G933" s="1"/>
    </row>
    <row r="934" spans="1:7" x14ac:dyDescent="0.25">
      <c r="A934" s="1"/>
    </row>
    <row r="936" spans="1:7" x14ac:dyDescent="0.25">
      <c r="B936" s="1"/>
      <c r="C936" s="1"/>
      <c r="D936" s="1"/>
      <c r="E936" s="1"/>
      <c r="F936" s="6"/>
      <c r="G936" s="1"/>
    </row>
    <row r="937" spans="1:7" x14ac:dyDescent="0.25">
      <c r="A937" s="1"/>
    </row>
    <row r="938" spans="1:7" ht="54.75" customHeight="1" x14ac:dyDescent="0.25"/>
    <row r="940" spans="1:7" x14ac:dyDescent="0.25">
      <c r="B940" s="1"/>
      <c r="C940" s="1"/>
      <c r="D940" s="1"/>
      <c r="E940" s="1"/>
      <c r="F940" s="6"/>
      <c r="G940" s="1"/>
    </row>
    <row r="941" spans="1:7" ht="36.75" customHeight="1" x14ac:dyDescent="0.25">
      <c r="A941" s="1"/>
      <c r="B941" s="1"/>
      <c r="C941" s="1"/>
      <c r="D941" s="1"/>
      <c r="E941" s="1"/>
      <c r="G941" s="1"/>
    </row>
    <row r="942" spans="1:7" x14ac:dyDescent="0.25">
      <c r="A942" s="1"/>
    </row>
    <row r="943" spans="1:7" ht="49.5" customHeight="1" x14ac:dyDescent="0.25">
      <c r="B943" s="1"/>
      <c r="C943" s="1"/>
      <c r="D943" s="1"/>
      <c r="E943" s="1"/>
      <c r="G943" s="1"/>
    </row>
    <row r="944" spans="1:7" x14ac:dyDescent="0.25">
      <c r="A944" s="1"/>
      <c r="B944" s="1"/>
      <c r="C944" s="1"/>
      <c r="D944" s="1"/>
      <c r="E944" s="1"/>
      <c r="G944" s="1"/>
    </row>
    <row r="945" spans="1:7" x14ac:dyDescent="0.25">
      <c r="A945" s="1"/>
      <c r="B945" s="1"/>
      <c r="C945" s="1"/>
      <c r="D945" s="1"/>
      <c r="E945" s="1"/>
      <c r="G945" s="1"/>
    </row>
    <row r="946" spans="1:7" ht="32.25" customHeight="1" x14ac:dyDescent="0.25">
      <c r="A946" s="1"/>
      <c r="B946" s="1"/>
      <c r="C946" s="1"/>
      <c r="D946" s="1"/>
      <c r="E946" s="1"/>
      <c r="G946" s="1"/>
    </row>
    <row r="947" spans="1:7" ht="51" customHeight="1" x14ac:dyDescent="0.25">
      <c r="A947" s="1"/>
    </row>
    <row r="948" spans="1:7" x14ac:dyDescent="0.25">
      <c r="B948" s="1"/>
      <c r="C948" s="1"/>
      <c r="D948" s="1"/>
      <c r="E948" s="1"/>
      <c r="F948" s="6"/>
      <c r="G948" s="1"/>
    </row>
    <row r="949" spans="1:7" x14ac:dyDescent="0.25">
      <c r="A949" s="1"/>
    </row>
    <row r="950" spans="1:7" x14ac:dyDescent="0.25">
      <c r="B950" s="1"/>
      <c r="C950" s="1"/>
      <c r="D950" s="1"/>
      <c r="E950" s="1"/>
      <c r="F950" s="6"/>
      <c r="G950" s="1"/>
    </row>
    <row r="951" spans="1:7" x14ac:dyDescent="0.25">
      <c r="A951" s="1"/>
      <c r="B951" s="1"/>
      <c r="C951" s="1"/>
      <c r="D951" s="1"/>
      <c r="E951" s="1"/>
      <c r="F951" s="6"/>
      <c r="G951" s="1"/>
    </row>
    <row r="952" spans="1:7" x14ac:dyDescent="0.25">
      <c r="A952" s="1"/>
      <c r="B952" s="1"/>
      <c r="C952" s="1"/>
      <c r="D952" s="1"/>
      <c r="E952" s="1"/>
      <c r="F952" s="6"/>
      <c r="G952" s="1"/>
    </row>
    <row r="953" spans="1:7" x14ac:dyDescent="0.25">
      <c r="A953" s="1"/>
      <c r="B953" s="1"/>
      <c r="C953" s="1"/>
      <c r="D953" s="1"/>
      <c r="E953" s="1"/>
      <c r="F953" s="6"/>
      <c r="G953" s="1"/>
    </row>
    <row r="954" spans="1:7" x14ac:dyDescent="0.25">
      <c r="A954" s="1"/>
    </row>
    <row r="955" spans="1:7" ht="50.25" customHeight="1" x14ac:dyDescent="0.25">
      <c r="B955" s="1"/>
      <c r="C955" s="1"/>
      <c r="D955" s="1"/>
      <c r="E955" s="1"/>
      <c r="F955" s="6"/>
      <c r="G955" s="1"/>
    </row>
    <row r="956" spans="1:7" x14ac:dyDescent="0.25">
      <c r="A956" s="1"/>
    </row>
    <row r="957" spans="1:7" x14ac:dyDescent="0.25">
      <c r="B957" s="1"/>
      <c r="C957" s="1"/>
      <c r="D957" s="1"/>
      <c r="E957" s="1"/>
      <c r="F957" s="6"/>
      <c r="G957" s="1"/>
    </row>
    <row r="958" spans="1:7" x14ac:dyDescent="0.25">
      <c r="A958" s="1"/>
      <c r="B958" s="1"/>
      <c r="C958" s="1"/>
      <c r="D958" s="1"/>
      <c r="E958" s="1"/>
      <c r="F958" s="6"/>
      <c r="G958" s="1"/>
    </row>
    <row r="959" spans="1:7" ht="36" customHeight="1" x14ac:dyDescent="0.25">
      <c r="A959" s="1"/>
      <c r="B959" s="1"/>
      <c r="C959" s="1"/>
      <c r="D959" s="1"/>
      <c r="E959" s="1"/>
      <c r="G959" s="1"/>
    </row>
    <row r="960" spans="1:7" x14ac:dyDescent="0.25">
      <c r="A960" s="1"/>
      <c r="B960" s="1"/>
      <c r="C960" s="1"/>
      <c r="D960" s="1"/>
      <c r="E960" s="1"/>
      <c r="F960" s="6"/>
      <c r="G960" s="1"/>
    </row>
    <row r="961" spans="1:7" x14ac:dyDescent="0.25">
      <c r="A961" s="1"/>
      <c r="B961" s="1"/>
      <c r="C961" s="1"/>
      <c r="D961" s="1"/>
      <c r="E961" s="1"/>
      <c r="G961" s="1"/>
    </row>
    <row r="962" spans="1:7" x14ac:dyDescent="0.25">
      <c r="A962" s="1"/>
    </row>
    <row r="964" spans="1:7" x14ac:dyDescent="0.25">
      <c r="B964" s="1"/>
      <c r="C964" s="1"/>
      <c r="D964" s="1"/>
      <c r="E964" s="1"/>
      <c r="G964" s="1"/>
    </row>
    <row r="965" spans="1:7" x14ac:dyDescent="0.25">
      <c r="A965" s="1"/>
      <c r="B965" s="1"/>
      <c r="C965" s="1"/>
      <c r="D965" s="1"/>
      <c r="E965" s="1"/>
      <c r="G965" s="1"/>
    </row>
    <row r="966" spans="1:7" x14ac:dyDescent="0.25">
      <c r="A966" s="1"/>
      <c r="B966" s="1"/>
      <c r="C966" s="1"/>
      <c r="D966" s="1"/>
      <c r="E966" s="1"/>
      <c r="F966" s="6"/>
      <c r="G966" s="1"/>
    </row>
    <row r="967" spans="1:7" ht="24" customHeight="1" x14ac:dyDescent="0.25">
      <c r="A967" s="1"/>
      <c r="B967" s="1"/>
      <c r="C967" s="1"/>
      <c r="D967" s="1"/>
      <c r="E967" s="1"/>
      <c r="G967" s="1"/>
    </row>
    <row r="968" spans="1:7" x14ac:dyDescent="0.25">
      <c r="A968" s="1"/>
      <c r="B968" s="1"/>
      <c r="C968" s="1"/>
      <c r="D968" s="1"/>
      <c r="E968" s="1"/>
      <c r="F968" s="6"/>
      <c r="G968" s="1"/>
    </row>
    <row r="969" spans="1:7" ht="113.25" customHeight="1" x14ac:dyDescent="0.25">
      <c r="A969" s="1"/>
      <c r="B969" s="1"/>
      <c r="C969" s="1"/>
      <c r="D969" s="1"/>
      <c r="E969" s="1"/>
      <c r="G969" s="1"/>
    </row>
    <row r="970" spans="1:7" ht="27.75" customHeight="1" x14ac:dyDescent="0.25">
      <c r="A970" s="1"/>
    </row>
    <row r="971" spans="1:7" ht="51.75" customHeight="1" x14ac:dyDescent="0.25">
      <c r="B971" s="1"/>
      <c r="C971" s="1"/>
      <c r="D971" s="1"/>
      <c r="E971" s="1"/>
      <c r="F971" s="6"/>
      <c r="G971" s="1"/>
    </row>
    <row r="972" spans="1:7" ht="47.25" customHeight="1" x14ac:dyDescent="0.25">
      <c r="A972" s="1"/>
      <c r="B972" s="1"/>
      <c r="C972" s="1"/>
      <c r="D972" s="1"/>
      <c r="E972" s="1"/>
      <c r="F972" s="6"/>
      <c r="G972" s="1"/>
    </row>
    <row r="973" spans="1:7" x14ac:dyDescent="0.25">
      <c r="A973" s="1"/>
      <c r="B973" s="1"/>
      <c r="C973" s="1"/>
      <c r="D973" s="1"/>
      <c r="E973" s="1"/>
      <c r="F973" s="6"/>
      <c r="G973" s="1"/>
    </row>
    <row r="974" spans="1:7" ht="37.5" customHeight="1" x14ac:dyDescent="0.25">
      <c r="A974" s="1"/>
      <c r="B974" s="1"/>
      <c r="C974" s="1"/>
      <c r="D974" s="1"/>
      <c r="E974" s="1"/>
      <c r="F974" s="6"/>
      <c r="G974" s="1"/>
    </row>
    <row r="975" spans="1:7" x14ac:dyDescent="0.25">
      <c r="A975" s="1"/>
      <c r="B975" s="1"/>
      <c r="C975" s="1"/>
      <c r="D975" s="1"/>
      <c r="E975" s="1"/>
      <c r="F975" s="6"/>
      <c r="G975" s="1"/>
    </row>
    <row r="976" spans="1:7" ht="50.25" customHeight="1" x14ac:dyDescent="0.25">
      <c r="A976" s="1"/>
      <c r="B976" s="1"/>
      <c r="C976" s="1"/>
      <c r="D976" s="1"/>
      <c r="E976" s="1"/>
      <c r="F976" s="6"/>
      <c r="G976" s="1"/>
    </row>
    <row r="977" spans="1:7" ht="48" customHeight="1" x14ac:dyDescent="0.25">
      <c r="A977" s="1"/>
    </row>
    <row r="978" spans="1:7" x14ac:dyDescent="0.25">
      <c r="B978" s="1"/>
      <c r="C978" s="1"/>
      <c r="D978" s="1"/>
      <c r="E978" s="1"/>
      <c r="F978" s="6"/>
      <c r="G978" s="1"/>
    </row>
    <row r="979" spans="1:7" ht="34.5" customHeight="1" x14ac:dyDescent="0.25">
      <c r="A979" s="1"/>
    </row>
    <row r="980" spans="1:7" x14ac:dyDescent="0.25">
      <c r="B980" s="1"/>
      <c r="C980" s="1"/>
      <c r="D980" s="1"/>
      <c r="E980" s="1"/>
      <c r="F980" s="6"/>
      <c r="G980" s="1"/>
    </row>
    <row r="981" spans="1:7" x14ac:dyDescent="0.25">
      <c r="A981" s="1"/>
      <c r="B981" s="1"/>
      <c r="C981" s="1"/>
      <c r="D981" s="1"/>
      <c r="E981" s="1"/>
      <c r="F981" s="6"/>
      <c r="G981" s="1"/>
    </row>
    <row r="982" spans="1:7" x14ac:dyDescent="0.25">
      <c r="A982" s="1"/>
      <c r="B982" s="1"/>
      <c r="C982" s="1"/>
      <c r="D982" s="1"/>
      <c r="E982" s="1"/>
      <c r="G982" s="1"/>
    </row>
    <row r="983" spans="1:7" x14ac:dyDescent="0.25">
      <c r="A983" s="1"/>
      <c r="B983" s="1"/>
      <c r="C983" s="1"/>
      <c r="D983" s="1"/>
      <c r="E983" s="1"/>
      <c r="F983" s="6"/>
      <c r="G983" s="1"/>
    </row>
    <row r="984" spans="1:7" x14ac:dyDescent="0.25">
      <c r="A984" s="1"/>
    </row>
    <row r="985" spans="1:7" ht="53.25" customHeight="1" x14ac:dyDescent="0.25"/>
    <row r="986" spans="1:7" x14ac:dyDescent="0.25">
      <c r="B986" s="1"/>
      <c r="C986" s="1"/>
      <c r="D986" s="1"/>
      <c r="E986" s="1"/>
      <c r="G986" s="1"/>
    </row>
    <row r="987" spans="1:7" ht="36.75" customHeight="1" x14ac:dyDescent="0.25">
      <c r="A987" s="1"/>
    </row>
    <row r="989" spans="1:7" x14ac:dyDescent="0.25">
      <c r="B989" s="1"/>
      <c r="C989" s="1"/>
      <c r="D989" s="1"/>
      <c r="E989" s="1"/>
      <c r="F989" s="6"/>
      <c r="G989" s="1"/>
    </row>
    <row r="990" spans="1:7" ht="53.25" customHeight="1" x14ac:dyDescent="0.25">
      <c r="A990" s="1"/>
    </row>
    <row r="991" spans="1:7" ht="38.25" customHeight="1" x14ac:dyDescent="0.25"/>
    <row r="992" spans="1:7" ht="112.5" customHeight="1" x14ac:dyDescent="0.25"/>
    <row r="993" spans="1:7" ht="24" customHeight="1" x14ac:dyDescent="0.25">
      <c r="B993" s="1"/>
      <c r="C993" s="1"/>
      <c r="D993" s="1"/>
      <c r="E993" s="1"/>
      <c r="F993" s="6"/>
      <c r="G993" s="1"/>
    </row>
    <row r="994" spans="1:7" ht="52.5" customHeight="1" x14ac:dyDescent="0.25">
      <c r="A994" s="1"/>
      <c r="B994" s="1"/>
      <c r="C994" s="1"/>
      <c r="D994" s="1"/>
      <c r="E994" s="1"/>
      <c r="G994" s="1"/>
    </row>
    <row r="995" spans="1:7" ht="51" customHeight="1" x14ac:dyDescent="0.25">
      <c r="A995" s="1"/>
    </row>
    <row r="997" spans="1:7" ht="33" customHeight="1" x14ac:dyDescent="0.25"/>
    <row r="999" spans="1:7" ht="47.25" customHeight="1" x14ac:dyDescent="0.25"/>
    <row r="1000" spans="1:7" ht="54.75" customHeight="1" x14ac:dyDescent="0.25">
      <c r="B1000" s="1"/>
      <c r="C1000" s="1"/>
      <c r="D1000" s="1"/>
      <c r="E1000" s="1"/>
      <c r="F1000" s="6"/>
      <c r="G1000" s="1"/>
    </row>
    <row r="1001" spans="1:7" x14ac:dyDescent="0.25">
      <c r="A1001" s="1"/>
      <c r="B1001" s="1"/>
      <c r="C1001" s="1"/>
      <c r="D1001" s="1"/>
      <c r="E1001" s="1"/>
      <c r="F1001" s="6"/>
      <c r="G1001" s="1"/>
    </row>
    <row r="1002" spans="1:7" ht="42.75" customHeight="1" x14ac:dyDescent="0.25">
      <c r="A1002" s="1"/>
    </row>
    <row r="1003" spans="1:7" x14ac:dyDescent="0.25">
      <c r="B1003" s="1"/>
      <c r="C1003" s="1"/>
      <c r="D1003" s="1"/>
      <c r="E1003" s="1"/>
      <c r="G1003" s="1"/>
    </row>
    <row r="1004" spans="1:7" x14ac:dyDescent="0.25">
      <c r="A1004" s="1"/>
    </row>
    <row r="1005" spans="1:7" x14ac:dyDescent="0.25">
      <c r="B1005" s="1"/>
      <c r="C1005" s="1"/>
      <c r="D1005" s="1"/>
      <c r="E1005" s="1"/>
      <c r="G1005" s="1"/>
    </row>
    <row r="1006" spans="1:7" x14ac:dyDescent="0.25">
      <c r="A1006" s="1"/>
      <c r="B1006" s="1"/>
      <c r="C1006" s="1"/>
      <c r="D1006" s="1"/>
      <c r="E1006" s="1"/>
      <c r="G1006" s="1"/>
    </row>
    <row r="1007" spans="1:7" x14ac:dyDescent="0.25">
      <c r="A1007" s="1"/>
    </row>
    <row r="1008" spans="1:7" ht="50.25" customHeight="1" x14ac:dyDescent="0.25">
      <c r="B1008" s="1"/>
      <c r="C1008" s="1"/>
      <c r="D1008" s="1"/>
      <c r="E1008" s="1"/>
      <c r="F1008" s="6"/>
      <c r="G1008" s="1"/>
    </row>
    <row r="1009" spans="1:7" x14ac:dyDescent="0.25">
      <c r="A1009" s="1"/>
    </row>
    <row r="1010" spans="1:7" x14ac:dyDescent="0.25">
      <c r="B1010" s="1"/>
      <c r="C1010" s="1"/>
      <c r="D1010" s="1"/>
      <c r="E1010" s="1"/>
      <c r="F1010" s="6"/>
      <c r="G1010" s="1"/>
    </row>
    <row r="1011" spans="1:7" x14ac:dyDescent="0.25">
      <c r="A1011" s="1"/>
    </row>
    <row r="1012" spans="1:7" ht="52.5" customHeight="1" x14ac:dyDescent="0.25">
      <c r="B1012" s="1"/>
      <c r="C1012" s="1"/>
      <c r="D1012" s="1"/>
      <c r="E1012" s="1"/>
      <c r="F1012" s="6"/>
      <c r="G1012" s="1"/>
    </row>
    <row r="1013" spans="1:7" x14ac:dyDescent="0.25">
      <c r="A1013" s="1"/>
      <c r="B1013" s="1"/>
      <c r="C1013" s="1"/>
      <c r="D1013" s="1"/>
      <c r="E1013" s="1"/>
      <c r="F1013" s="6"/>
      <c r="G1013" s="1"/>
    </row>
    <row r="1014" spans="1:7" x14ac:dyDescent="0.25">
      <c r="A1014" s="1"/>
    </row>
    <row r="1016" spans="1:7" x14ac:dyDescent="0.25">
      <c r="B1016" s="1"/>
      <c r="C1016" s="1"/>
      <c r="D1016" s="1"/>
      <c r="E1016" s="1"/>
      <c r="G1016" s="1"/>
    </row>
    <row r="1017" spans="1:7" x14ac:dyDescent="0.25">
      <c r="A1017" s="1"/>
    </row>
    <row r="1019" spans="1:7" ht="79.5" customHeight="1" x14ac:dyDescent="0.25">
      <c r="B1019" s="1"/>
      <c r="C1019" s="1"/>
      <c r="D1019" s="1"/>
      <c r="E1019" s="1"/>
      <c r="F1019" s="6"/>
      <c r="G1019" s="1"/>
    </row>
    <row r="1020" spans="1:7" ht="27.75" customHeight="1" x14ac:dyDescent="0.25">
      <c r="A1020" s="1"/>
    </row>
    <row r="1022" spans="1:7" x14ac:dyDescent="0.25">
      <c r="B1022" s="1"/>
      <c r="C1022" s="1"/>
      <c r="D1022" s="1"/>
      <c r="E1022" s="1"/>
      <c r="G1022" s="1"/>
    </row>
    <row r="1023" spans="1:7" x14ac:dyDescent="0.25">
      <c r="A1023" s="1"/>
      <c r="B1023" s="1"/>
      <c r="C1023" s="1"/>
      <c r="D1023" s="1"/>
      <c r="E1023" s="1"/>
      <c r="F1023" s="6"/>
      <c r="G1023" s="1"/>
    </row>
    <row r="1024" spans="1:7" x14ac:dyDescent="0.25">
      <c r="A1024" s="1"/>
    </row>
    <row r="1025" spans="1:7" x14ac:dyDescent="0.25">
      <c r="B1025" s="1"/>
      <c r="C1025" s="1"/>
      <c r="D1025" s="1"/>
      <c r="E1025" s="1"/>
      <c r="G1025" s="1"/>
    </row>
    <row r="1026" spans="1:7" x14ac:dyDescent="0.25">
      <c r="A1026" s="1"/>
    </row>
    <row r="1027" spans="1:7" ht="53.25" customHeight="1" x14ac:dyDescent="0.25">
      <c r="B1027" s="1"/>
      <c r="C1027" s="1"/>
      <c r="D1027" s="1"/>
      <c r="E1027" s="1"/>
      <c r="G1027" s="1"/>
    </row>
    <row r="1028" spans="1:7" x14ac:dyDescent="0.25">
      <c r="A1028" s="1"/>
    </row>
    <row r="1029" spans="1:7" ht="42.75" customHeight="1" x14ac:dyDescent="0.25">
      <c r="B1029" s="1"/>
      <c r="C1029" s="1"/>
      <c r="D1029" s="1"/>
      <c r="E1029" s="1"/>
      <c r="F1029" s="6"/>
      <c r="G1029" s="1"/>
    </row>
    <row r="1030" spans="1:7" x14ac:dyDescent="0.25">
      <c r="A1030" s="1"/>
      <c r="B1030" s="1"/>
      <c r="C1030" s="1"/>
      <c r="D1030" s="1"/>
      <c r="E1030" s="1"/>
      <c r="F1030" s="6"/>
      <c r="G1030" s="1"/>
    </row>
    <row r="1031" spans="1:7" ht="113.25" customHeight="1" x14ac:dyDescent="0.25">
      <c r="A1031" s="1"/>
    </row>
    <row r="1032" spans="1:7" ht="18.75" customHeight="1" x14ac:dyDescent="0.25">
      <c r="B1032" s="1"/>
      <c r="C1032" s="1"/>
      <c r="D1032" s="1"/>
      <c r="E1032" s="1"/>
      <c r="F1032" s="6"/>
      <c r="G1032" s="1"/>
    </row>
    <row r="1033" spans="1:7" x14ac:dyDescent="0.25">
      <c r="A1033" s="1"/>
      <c r="B1033" s="1"/>
      <c r="C1033" s="1"/>
      <c r="D1033" s="1"/>
      <c r="E1033" s="1"/>
      <c r="G1033" s="1"/>
    </row>
    <row r="1034" spans="1:7" x14ac:dyDescent="0.25">
      <c r="A1034" s="1"/>
      <c r="B1034" s="1"/>
      <c r="C1034" s="1"/>
      <c r="D1034" s="1"/>
      <c r="E1034" s="1"/>
      <c r="F1034" s="6"/>
      <c r="G1034" s="1"/>
    </row>
    <row r="1035" spans="1:7" x14ac:dyDescent="0.25">
      <c r="A1035" s="1"/>
      <c r="B1035" s="1"/>
      <c r="C1035" s="1"/>
      <c r="D1035" s="1"/>
      <c r="E1035" s="1"/>
      <c r="G1035" s="1"/>
    </row>
    <row r="1036" spans="1:7" x14ac:dyDescent="0.25">
      <c r="A1036" s="1"/>
      <c r="B1036" s="1"/>
      <c r="C1036" s="1"/>
      <c r="D1036" s="1"/>
      <c r="E1036" s="1"/>
      <c r="F1036" s="6"/>
      <c r="G1036" s="1"/>
    </row>
    <row r="1037" spans="1:7" x14ac:dyDescent="0.25">
      <c r="A1037" s="1"/>
      <c r="B1037" s="1"/>
      <c r="C1037" s="1"/>
      <c r="D1037" s="1"/>
      <c r="E1037" s="1"/>
      <c r="F1037" s="6"/>
      <c r="G1037" s="1"/>
    </row>
    <row r="1038" spans="1:7" ht="53.25" customHeight="1" x14ac:dyDescent="0.25">
      <c r="A1038" s="1"/>
    </row>
    <row r="1039" spans="1:7" x14ac:dyDescent="0.25">
      <c r="B1039" s="1"/>
      <c r="C1039" s="1"/>
      <c r="D1039" s="1"/>
      <c r="E1039" s="1"/>
      <c r="F1039" s="6"/>
      <c r="G1039" s="1"/>
    </row>
    <row r="1040" spans="1:7" x14ac:dyDescent="0.25">
      <c r="A1040" s="1"/>
      <c r="B1040" s="1"/>
      <c r="C1040" s="1"/>
      <c r="D1040" s="1"/>
      <c r="E1040" s="1"/>
      <c r="F1040" s="6"/>
      <c r="G1040" s="1"/>
    </row>
    <row r="1041" spans="1:7" x14ac:dyDescent="0.25">
      <c r="A1041" s="1"/>
      <c r="B1041" s="1"/>
      <c r="C1041" s="1"/>
      <c r="D1041" s="1"/>
      <c r="E1041" s="1"/>
      <c r="F1041" s="6"/>
      <c r="G1041" s="1"/>
    </row>
    <row r="1042" spans="1:7" ht="51" customHeight="1" x14ac:dyDescent="0.25">
      <c r="A1042" s="1"/>
      <c r="B1042" s="1"/>
      <c r="C1042" s="1"/>
      <c r="D1042" s="1"/>
      <c r="E1042" s="1"/>
      <c r="F1042" s="6"/>
      <c r="G1042" s="1"/>
    </row>
    <row r="1043" spans="1:7" x14ac:dyDescent="0.25">
      <c r="A1043" s="1"/>
      <c r="B1043" s="1"/>
      <c r="C1043" s="1"/>
      <c r="D1043" s="1"/>
      <c r="E1043" s="1"/>
      <c r="G1043" s="1"/>
    </row>
    <row r="1044" spans="1:7" x14ac:dyDescent="0.25">
      <c r="A1044" s="1"/>
    </row>
    <row r="1045" spans="1:7" x14ac:dyDescent="0.25">
      <c r="B1045" s="1"/>
      <c r="C1045" s="1"/>
      <c r="D1045" s="1"/>
      <c r="E1045" s="1"/>
      <c r="G1045" s="1"/>
    </row>
    <row r="1046" spans="1:7" x14ac:dyDescent="0.25">
      <c r="A1046" s="1"/>
    </row>
    <row r="1047" spans="1:7" x14ac:dyDescent="0.25">
      <c r="B1047" s="1"/>
      <c r="C1047" s="1"/>
      <c r="D1047" s="1"/>
      <c r="E1047" s="1"/>
      <c r="F1047" s="6"/>
      <c r="G1047" s="1"/>
    </row>
    <row r="1048" spans="1:7" ht="27" customHeight="1" x14ac:dyDescent="0.25">
      <c r="A1048" s="1"/>
    </row>
    <row r="1049" spans="1:7" ht="17.25" customHeight="1" x14ac:dyDescent="0.25">
      <c r="B1049" s="1"/>
      <c r="C1049" s="1"/>
      <c r="D1049" s="1"/>
      <c r="E1049" s="1"/>
      <c r="G1049" s="1"/>
    </row>
    <row r="1050" spans="1:7" x14ac:dyDescent="0.25">
      <c r="A1050" s="1"/>
      <c r="B1050" s="1"/>
      <c r="C1050" s="1"/>
      <c r="D1050" s="1"/>
      <c r="E1050" s="1"/>
      <c r="F1050" s="6"/>
      <c r="G1050" s="1"/>
    </row>
    <row r="1051" spans="1:7" ht="38.25" customHeight="1" x14ac:dyDescent="0.25">
      <c r="A1051" s="1"/>
    </row>
    <row r="1052" spans="1:7" x14ac:dyDescent="0.25">
      <c r="B1052" s="1"/>
      <c r="C1052" s="1"/>
      <c r="D1052" s="1"/>
      <c r="E1052" s="1"/>
      <c r="F1052" s="6"/>
      <c r="G1052" s="1"/>
    </row>
    <row r="1053" spans="1:7" ht="20.25" customHeight="1" x14ac:dyDescent="0.25">
      <c r="A1053" s="1"/>
      <c r="B1053" s="1"/>
      <c r="C1053" s="1"/>
      <c r="D1053" s="1"/>
      <c r="E1053" s="1"/>
      <c r="G1053" s="1"/>
    </row>
    <row r="1054" spans="1:7" x14ac:dyDescent="0.25">
      <c r="A1054" s="1"/>
    </row>
    <row r="1055" spans="1:7" ht="127.5" customHeight="1" x14ac:dyDescent="0.25"/>
    <row r="1056" spans="1:7" ht="42" customHeight="1" x14ac:dyDescent="0.25">
      <c r="B1056" s="1"/>
      <c r="C1056" s="1"/>
      <c r="D1056" s="1"/>
      <c r="E1056" s="1"/>
      <c r="F1056" s="6"/>
      <c r="G1056" s="1"/>
    </row>
    <row r="1057" spans="1:7" x14ac:dyDescent="0.25">
      <c r="A1057" s="1"/>
    </row>
    <row r="1058" spans="1:7" ht="42" customHeight="1" x14ac:dyDescent="0.25"/>
    <row r="1059" spans="1:7" ht="129.75" customHeight="1" x14ac:dyDescent="0.25">
      <c r="B1059" s="1"/>
      <c r="C1059" s="1"/>
      <c r="D1059" s="1"/>
      <c r="E1059" s="1"/>
      <c r="G1059" s="1"/>
    </row>
    <row r="1060" spans="1:7" ht="27" customHeight="1" x14ac:dyDescent="0.25">
      <c r="A1060" s="1"/>
      <c r="B1060" s="1"/>
      <c r="C1060" s="1"/>
      <c r="D1060" s="1"/>
      <c r="E1060" s="1"/>
      <c r="F1060" s="6"/>
      <c r="G1060" s="1"/>
    </row>
    <row r="1061" spans="1:7" ht="44.25" customHeight="1" x14ac:dyDescent="0.25">
      <c r="A1061" s="1"/>
      <c r="B1061" s="1"/>
      <c r="C1061" s="1"/>
      <c r="D1061" s="1"/>
      <c r="E1061" s="1"/>
      <c r="G1061" s="1"/>
    </row>
    <row r="1062" spans="1:7" x14ac:dyDescent="0.25">
      <c r="A1062" s="1"/>
    </row>
    <row r="1066" spans="1:7" ht="33" customHeight="1" x14ac:dyDescent="0.25">
      <c r="B1066" s="1"/>
      <c r="C1066" s="1"/>
      <c r="D1066" s="1"/>
      <c r="E1066" s="1"/>
      <c r="F1066" s="6"/>
      <c r="G1066" s="1"/>
    </row>
    <row r="1067" spans="1:7" x14ac:dyDescent="0.25">
      <c r="A1067" s="1"/>
      <c r="B1067" s="1"/>
      <c r="C1067" s="1"/>
      <c r="D1067" s="1"/>
      <c r="E1067" s="1"/>
      <c r="F1067" s="6"/>
      <c r="G1067" s="1"/>
    </row>
    <row r="1068" spans="1:7" x14ac:dyDescent="0.25">
      <c r="A1068" s="1"/>
      <c r="B1068" s="1"/>
      <c r="C1068" s="1"/>
      <c r="D1068" s="1"/>
      <c r="E1068" s="1"/>
      <c r="F1068" s="6"/>
      <c r="G1068" s="1"/>
    </row>
    <row r="1069" spans="1:7" ht="22.5" customHeight="1" x14ac:dyDescent="0.25">
      <c r="A1069" s="1"/>
      <c r="B1069" s="1"/>
      <c r="C1069" s="1"/>
      <c r="D1069" s="1"/>
      <c r="E1069" s="1"/>
      <c r="G1069" s="1"/>
    </row>
    <row r="1070" spans="1:7" x14ac:dyDescent="0.25">
      <c r="A1070" s="1"/>
      <c r="B1070" s="1"/>
      <c r="C1070" s="1"/>
      <c r="D1070" s="1"/>
      <c r="E1070" s="1"/>
      <c r="G1070" s="1"/>
    </row>
    <row r="1071" spans="1:7" ht="57" customHeight="1" x14ac:dyDescent="0.25">
      <c r="A1071" s="1"/>
    </row>
    <row r="1074" spans="1:7" x14ac:dyDescent="0.25">
      <c r="B1074" s="1"/>
      <c r="C1074" s="1"/>
      <c r="D1074" s="1"/>
      <c r="E1074" s="1"/>
      <c r="G1074" s="1"/>
    </row>
    <row r="1075" spans="1:7" ht="49.5" customHeight="1" x14ac:dyDescent="0.25">
      <c r="A1075" s="1"/>
      <c r="B1075" s="1"/>
      <c r="C1075" s="1"/>
      <c r="D1075" s="1"/>
      <c r="E1075" s="1"/>
      <c r="F1075" s="6"/>
      <c r="G1075" s="1"/>
    </row>
    <row r="1076" spans="1:7" x14ac:dyDescent="0.25">
      <c r="A1076" s="1"/>
      <c r="B1076" s="1"/>
      <c r="C1076" s="1"/>
      <c r="D1076" s="1"/>
      <c r="E1076" s="1"/>
      <c r="F1076" s="6"/>
      <c r="G1076" s="1"/>
    </row>
    <row r="1077" spans="1:7" x14ac:dyDescent="0.25">
      <c r="A1077" s="1"/>
      <c r="B1077" s="1"/>
      <c r="C1077" s="1"/>
      <c r="D1077" s="1"/>
      <c r="E1077" s="1"/>
      <c r="F1077" s="6"/>
      <c r="G1077" s="1"/>
    </row>
    <row r="1078" spans="1:7" x14ac:dyDescent="0.25">
      <c r="A1078" s="1"/>
    </row>
    <row r="1079" spans="1:7" ht="48.75" customHeight="1" x14ac:dyDescent="0.25"/>
    <row r="1080" spans="1:7" x14ac:dyDescent="0.25">
      <c r="B1080" s="1"/>
      <c r="C1080" s="1"/>
      <c r="D1080" s="1"/>
      <c r="E1080" s="1"/>
      <c r="G1080" s="1"/>
    </row>
    <row r="1081" spans="1:7" x14ac:dyDescent="0.25">
      <c r="A1081" s="1"/>
      <c r="B1081" s="1"/>
      <c r="C1081" s="1"/>
      <c r="D1081" s="1"/>
      <c r="E1081" s="1"/>
      <c r="F1081" s="6"/>
      <c r="G1081" s="1"/>
    </row>
    <row r="1082" spans="1:7" x14ac:dyDescent="0.25">
      <c r="A1082" s="1"/>
      <c r="B1082" s="1"/>
      <c r="C1082" s="1"/>
      <c r="D1082" s="1"/>
      <c r="E1082" s="1"/>
      <c r="F1082" s="6"/>
      <c r="G1082" s="1"/>
    </row>
    <row r="1083" spans="1:7" x14ac:dyDescent="0.25">
      <c r="A1083" s="1"/>
    </row>
    <row r="1085" spans="1:7" ht="84" customHeight="1" x14ac:dyDescent="0.25"/>
    <row r="1086" spans="1:7" ht="34.5" customHeight="1" x14ac:dyDescent="0.25"/>
    <row r="1087" spans="1:7" ht="24.75" customHeight="1" x14ac:dyDescent="0.25">
      <c r="B1087" s="1"/>
      <c r="C1087" s="1"/>
      <c r="D1087" s="1"/>
      <c r="E1087" s="1"/>
      <c r="F1087" s="6"/>
      <c r="G1087" s="1"/>
    </row>
    <row r="1088" spans="1:7" x14ac:dyDescent="0.25">
      <c r="A1088" s="1"/>
    </row>
    <row r="1089" spans="1:7" x14ac:dyDescent="0.25">
      <c r="B1089" s="1"/>
      <c r="C1089" s="1"/>
      <c r="D1089" s="1"/>
      <c r="E1089" s="1"/>
      <c r="G1089" s="1"/>
    </row>
    <row r="1090" spans="1:7" x14ac:dyDescent="0.25">
      <c r="A1090" s="1"/>
    </row>
    <row r="1093" spans="1:7" x14ac:dyDescent="0.25">
      <c r="B1093" s="1"/>
      <c r="C1093" s="1"/>
      <c r="D1093" s="1"/>
      <c r="E1093" s="1"/>
      <c r="G1093" s="1"/>
    </row>
    <row r="1094" spans="1:7" ht="36" customHeight="1" x14ac:dyDescent="0.25">
      <c r="A1094" s="1"/>
    </row>
    <row r="1095" spans="1:7" ht="111.75" customHeight="1" x14ac:dyDescent="0.25">
      <c r="B1095" s="1"/>
      <c r="C1095" s="1"/>
      <c r="D1095" s="1"/>
      <c r="E1095" s="1"/>
      <c r="G1095" s="1"/>
    </row>
    <row r="1096" spans="1:7" ht="27.75" customHeight="1" x14ac:dyDescent="0.25">
      <c r="A1096" s="1"/>
      <c r="B1096" s="1"/>
      <c r="C1096" s="1"/>
      <c r="D1096" s="1"/>
      <c r="E1096" s="1"/>
      <c r="F1096" s="6"/>
      <c r="G1096" s="1"/>
    </row>
    <row r="1097" spans="1:7" x14ac:dyDescent="0.25">
      <c r="A1097" s="1"/>
    </row>
    <row r="1100" spans="1:7" ht="111.75" customHeight="1" x14ac:dyDescent="0.25">
      <c r="B1100" s="1"/>
      <c r="C1100" s="1"/>
      <c r="D1100" s="1"/>
      <c r="E1100" s="1"/>
      <c r="F1100" s="6"/>
      <c r="G1100" s="1"/>
    </row>
    <row r="1101" spans="1:7" ht="42.75" customHeight="1" x14ac:dyDescent="0.25">
      <c r="A1101" s="1"/>
      <c r="B1101" s="1"/>
      <c r="C1101" s="1"/>
      <c r="D1101" s="1"/>
      <c r="E1101" s="1"/>
      <c r="G1101" s="1"/>
    </row>
    <row r="1102" spans="1:7" x14ac:dyDescent="0.25">
      <c r="A1102" s="1"/>
      <c r="B1102" s="1"/>
      <c r="C1102" s="1"/>
      <c r="D1102" s="1"/>
      <c r="E1102" s="1"/>
      <c r="F1102" s="6"/>
      <c r="G1102" s="1"/>
    </row>
    <row r="1103" spans="1:7" x14ac:dyDescent="0.25">
      <c r="A1103" s="1"/>
      <c r="B1103" s="1"/>
      <c r="C1103" s="1"/>
      <c r="D1103" s="1"/>
      <c r="E1103" s="1"/>
      <c r="F1103" s="6"/>
      <c r="G1103" s="1"/>
    </row>
    <row r="1104" spans="1:7" x14ac:dyDescent="0.25">
      <c r="A1104" s="1"/>
    </row>
    <row r="1106" spans="1:7" ht="51.75" customHeight="1" x14ac:dyDescent="0.25">
      <c r="B1106" s="1"/>
      <c r="C1106" s="1"/>
      <c r="D1106" s="1"/>
      <c r="E1106" s="1"/>
      <c r="G1106" s="1"/>
    </row>
    <row r="1107" spans="1:7" x14ac:dyDescent="0.25">
      <c r="A1107" s="1"/>
      <c r="B1107" s="1"/>
      <c r="C1107" s="1"/>
      <c r="D1107" s="1"/>
      <c r="E1107" s="1"/>
      <c r="G1107" s="1"/>
    </row>
    <row r="1108" spans="1:7" x14ac:dyDescent="0.25">
      <c r="A1108" s="1"/>
      <c r="B1108" s="1"/>
      <c r="C1108" s="1"/>
      <c r="D1108" s="1"/>
      <c r="E1108" s="1"/>
      <c r="F1108" s="6"/>
      <c r="G1108" s="1"/>
    </row>
    <row r="1109" spans="1:7" x14ac:dyDescent="0.25">
      <c r="A1109" s="1"/>
      <c r="B1109" s="1"/>
      <c r="C1109" s="1"/>
      <c r="D1109" s="1"/>
      <c r="E1109" s="1"/>
      <c r="F1109" s="6"/>
      <c r="G1109" s="1"/>
    </row>
    <row r="1110" spans="1:7" x14ac:dyDescent="0.25">
      <c r="A1110" s="1"/>
      <c r="B1110" s="1"/>
      <c r="C1110" s="1"/>
      <c r="D1110" s="1"/>
      <c r="E1110" s="1"/>
      <c r="G1110" s="1"/>
    </row>
    <row r="1111" spans="1:7" x14ac:dyDescent="0.25">
      <c r="A1111" s="1"/>
      <c r="B1111" s="1"/>
      <c r="C1111" s="1"/>
      <c r="D1111" s="1"/>
      <c r="E1111" s="1"/>
      <c r="G1111" s="1"/>
    </row>
    <row r="1112" spans="1:7" x14ac:dyDescent="0.25">
      <c r="A1112" s="1"/>
    </row>
    <row r="1113" spans="1:7" x14ac:dyDescent="0.25">
      <c r="B1113" s="1"/>
      <c r="C1113" s="1"/>
      <c r="D1113" s="1"/>
      <c r="E1113" s="1"/>
      <c r="F1113" s="6"/>
      <c r="G1113" s="1"/>
    </row>
    <row r="1114" spans="1:7" x14ac:dyDescent="0.25">
      <c r="A1114" s="1"/>
      <c r="B1114" s="1"/>
      <c r="C1114" s="1"/>
      <c r="D1114" s="1"/>
      <c r="E1114" s="1"/>
      <c r="F1114" s="6"/>
      <c r="G1114" s="1"/>
    </row>
    <row r="1115" spans="1:7" ht="50.25" customHeight="1" x14ac:dyDescent="0.25">
      <c r="A1115" s="1"/>
      <c r="B1115" s="1"/>
      <c r="C1115" s="1"/>
      <c r="D1115" s="1"/>
      <c r="E1115" s="1"/>
      <c r="G1115" s="1"/>
    </row>
    <row r="1116" spans="1:7" x14ac:dyDescent="0.25">
      <c r="A1116" s="1"/>
    </row>
    <row r="1117" spans="1:7" x14ac:dyDescent="0.25">
      <c r="B1117" s="1"/>
      <c r="C1117" s="1"/>
      <c r="D1117" s="1"/>
      <c r="E1117" s="1"/>
      <c r="F1117" s="6"/>
      <c r="G1117" s="1"/>
    </row>
    <row r="1118" spans="1:7" x14ac:dyDescent="0.25">
      <c r="A1118" s="1"/>
      <c r="B1118" s="1"/>
      <c r="C1118" s="1"/>
      <c r="D1118" s="1"/>
      <c r="E1118" s="1"/>
      <c r="F1118" s="6"/>
      <c r="G1118" s="1"/>
    </row>
    <row r="1119" spans="1:7" ht="51" customHeight="1" x14ac:dyDescent="0.25">
      <c r="A1119" s="1"/>
      <c r="B1119" s="1"/>
      <c r="C1119" s="1"/>
      <c r="D1119" s="1"/>
      <c r="E1119" s="1"/>
      <c r="G1119" s="1"/>
    </row>
    <row r="1120" spans="1:7" x14ac:dyDescent="0.25">
      <c r="A1120" s="1"/>
      <c r="B1120" s="1"/>
      <c r="C1120" s="1"/>
      <c r="D1120" s="1"/>
      <c r="E1120" s="1"/>
      <c r="F1120" s="6"/>
      <c r="G1120" s="1"/>
    </row>
    <row r="1121" spans="1:7" ht="41.25" customHeight="1" x14ac:dyDescent="0.25">
      <c r="A1121" s="1"/>
      <c r="B1121" s="1"/>
      <c r="C1121" s="1"/>
      <c r="D1121" s="1"/>
      <c r="E1121" s="1"/>
      <c r="F1121" s="6"/>
      <c r="G1121" s="1"/>
    </row>
    <row r="1122" spans="1:7" ht="23.25" customHeight="1" x14ac:dyDescent="0.25">
      <c r="A1122" s="1"/>
      <c r="B1122" s="1"/>
      <c r="C1122" s="1"/>
      <c r="D1122" s="1"/>
      <c r="E1122" s="1"/>
      <c r="F1122" s="6"/>
      <c r="G1122" s="1"/>
    </row>
    <row r="1123" spans="1:7" x14ac:dyDescent="0.25">
      <c r="A1123" s="1"/>
      <c r="B1123" s="1"/>
      <c r="C1123" s="1"/>
      <c r="D1123" s="1"/>
      <c r="E1123" s="1"/>
      <c r="G1123" s="1"/>
    </row>
    <row r="1124" spans="1:7" x14ac:dyDescent="0.25">
      <c r="A1124" s="1"/>
      <c r="B1124" s="1"/>
      <c r="C1124" s="1"/>
      <c r="D1124" s="1"/>
      <c r="E1124" s="1"/>
      <c r="F1124" s="6"/>
      <c r="G1124" s="1"/>
    </row>
    <row r="1125" spans="1:7" x14ac:dyDescent="0.25">
      <c r="A1125" s="1"/>
      <c r="B1125" s="1"/>
      <c r="C1125" s="1"/>
      <c r="D1125" s="1"/>
      <c r="E1125" s="1"/>
      <c r="F1125" s="6"/>
      <c r="G1125" s="1"/>
    </row>
    <row r="1126" spans="1:7" x14ac:dyDescent="0.25">
      <c r="A1126" s="1"/>
      <c r="B1126" s="1"/>
      <c r="C1126" s="1"/>
      <c r="D1126" s="1"/>
      <c r="E1126" s="1"/>
      <c r="F1126" s="6"/>
      <c r="G1126" s="1"/>
    </row>
    <row r="1127" spans="1:7" ht="50.25" customHeight="1" x14ac:dyDescent="0.25">
      <c r="A1127" s="1"/>
    </row>
    <row r="1128" spans="1:7" ht="22.5" customHeight="1" x14ac:dyDescent="0.25"/>
    <row r="1130" spans="1:7" x14ac:dyDescent="0.25">
      <c r="F1130" s="6"/>
    </row>
    <row r="1132" spans="1:7" ht="114" customHeight="1" x14ac:dyDescent="0.25">
      <c r="F1132" s="6"/>
    </row>
    <row r="1133" spans="1:7" ht="24.75" customHeight="1" x14ac:dyDescent="0.25">
      <c r="F1133" s="6"/>
    </row>
    <row r="1136" spans="1:7" ht="81.75" customHeight="1" x14ac:dyDescent="0.25"/>
    <row r="1137" spans="1:7" ht="22.5" customHeight="1" x14ac:dyDescent="0.25">
      <c r="A1137" s="1"/>
      <c r="B1137" s="1"/>
      <c r="C1137" s="1"/>
      <c r="D1137" s="1"/>
      <c r="E1137" s="1"/>
      <c r="F1137" s="1"/>
      <c r="G1137" s="1"/>
    </row>
    <row r="1139" spans="1:7" ht="28.5" customHeight="1" x14ac:dyDescent="0.25">
      <c r="A1139" s="1"/>
      <c r="B1139" s="1"/>
      <c r="C1139" s="1"/>
      <c r="D1139" s="1"/>
      <c r="E1139" s="1"/>
      <c r="F1139" s="1"/>
      <c r="G1139" s="1"/>
    </row>
    <row r="1140" spans="1:7" ht="130.5" customHeight="1" x14ac:dyDescent="0.25">
      <c r="A1140" s="1"/>
      <c r="B1140" s="1"/>
      <c r="C1140" s="1"/>
      <c r="D1140" s="1"/>
      <c r="E1140" s="1"/>
      <c r="F1140" s="1"/>
      <c r="G1140" s="1"/>
    </row>
    <row r="1141" spans="1:7" ht="24.75" customHeight="1" x14ac:dyDescent="0.25">
      <c r="A1141" s="1"/>
      <c r="B1141" s="1"/>
      <c r="C1141" s="1"/>
      <c r="D1141" s="1"/>
      <c r="E1141" s="1"/>
      <c r="F1141" s="1"/>
      <c r="G1141" s="1"/>
    </row>
    <row r="1143" spans="1:7" ht="24" customHeight="1" x14ac:dyDescent="0.25">
      <c r="A1143" s="1"/>
      <c r="B1143" s="1"/>
      <c r="C1143" s="1"/>
      <c r="D1143" s="1"/>
      <c r="E1143" s="1"/>
      <c r="F1143" s="1"/>
      <c r="G1143" s="1"/>
    </row>
    <row r="1144" spans="1:7" ht="80.25" customHeight="1" x14ac:dyDescent="0.25">
      <c r="A1144" s="1"/>
      <c r="B1144" s="1"/>
      <c r="C1144" s="1"/>
      <c r="D1144" s="1"/>
      <c r="E1144" s="1"/>
      <c r="F1144" s="1"/>
      <c r="G1144" s="1"/>
    </row>
    <row r="1145" spans="1:7" ht="21.75" customHeight="1" x14ac:dyDescent="0.25">
      <c r="A1145" s="1"/>
      <c r="B1145" s="1"/>
      <c r="C1145" s="1"/>
      <c r="D1145" s="1"/>
      <c r="E1145" s="1"/>
      <c r="F1145" s="1"/>
      <c r="G1145" s="1"/>
    </row>
    <row r="1149" spans="1:7" ht="45.75" customHeight="1" x14ac:dyDescent="0.25">
      <c r="A1149" s="1"/>
      <c r="B1149" s="1"/>
      <c r="C1149" s="1"/>
      <c r="D1149" s="1"/>
      <c r="E1149" s="1"/>
      <c r="F1149" s="1"/>
      <c r="G1149" s="1"/>
    </row>
    <row r="1151" spans="1:7" ht="51.75" customHeight="1" x14ac:dyDescent="0.25">
      <c r="A1151" s="1"/>
      <c r="B1151" s="1"/>
      <c r="C1151" s="1"/>
      <c r="D1151" s="1"/>
      <c r="E1151" s="1"/>
      <c r="F1151" s="1"/>
      <c r="G1151" s="1"/>
    </row>
    <row r="1152" spans="1:7" ht="51.75" customHeight="1" x14ac:dyDescent="0.25">
      <c r="A1152" s="1"/>
      <c r="B1152" s="1"/>
      <c r="C1152" s="1"/>
      <c r="D1152" s="1"/>
      <c r="E1152" s="1"/>
      <c r="F1152" s="1"/>
      <c r="G1152" s="1"/>
    </row>
    <row r="1155" spans="1:7" ht="47.25" customHeight="1" x14ac:dyDescent="0.25"/>
    <row r="1156" spans="1:7" ht="52.5" customHeight="1" x14ac:dyDescent="0.25"/>
    <row r="1161" spans="1:7" s="3" customFormat="1" x14ac:dyDescent="0.25">
      <c r="A1161" s="4"/>
      <c r="B1161" s="7"/>
      <c r="C1161" s="6"/>
      <c r="D1161" s="7"/>
      <c r="E1161" s="7"/>
      <c r="F1161" s="7"/>
      <c r="G1161" s="8"/>
    </row>
    <row r="1162" spans="1:7" s="3" customFormat="1" x14ac:dyDescent="0.25">
      <c r="A1162" s="4"/>
      <c r="B1162" s="7"/>
      <c r="C1162" s="6"/>
      <c r="D1162" s="7"/>
      <c r="E1162" s="7"/>
      <c r="F1162" s="7"/>
      <c r="G1162" s="8"/>
    </row>
    <row r="1163" spans="1:7" s="3" customFormat="1" x14ac:dyDescent="0.25">
      <c r="A1163" s="4"/>
      <c r="B1163" s="7"/>
      <c r="C1163" s="6"/>
      <c r="D1163" s="7"/>
      <c r="E1163" s="7"/>
      <c r="F1163" s="7"/>
      <c r="G1163" s="8"/>
    </row>
  </sheetData>
  <mergeCells count="7">
    <mergeCell ref="E742:G742"/>
    <mergeCell ref="A18:G18"/>
    <mergeCell ref="A20:A21"/>
    <mergeCell ref="G20:G21"/>
    <mergeCell ref="B21:E21"/>
    <mergeCell ref="B20:F20"/>
    <mergeCell ref="A740:G740"/>
  </mergeCells>
  <pageMargins left="0.78740157480314965" right="0.39370078740157483" top="1.1811023622047245" bottom="0.39370078740157483" header="0.51181102362204722" footer="0.31496062992125984"/>
  <pageSetup paperSize="9" fitToHeight="6" orientation="landscape" r:id="rId1"/>
  <headerFooter differentFirst="1" alignWithMargins="0">
    <oddHeader>&amp;C&amp;"Times New Roman,обычный"&amp;P</oddHeader>
  </headerFooter>
  <rowBreaks count="58" manualBreakCount="58">
    <brk id="24" max="6" man="1"/>
    <brk id="39" max="6" man="1"/>
    <brk id="46" max="6" man="1"/>
    <brk id="52" max="6" man="1"/>
    <brk id="61" max="6" man="1"/>
    <brk id="72" max="6" man="1"/>
    <brk id="83" max="6" man="1"/>
    <brk id="91" max="6" man="1"/>
    <brk id="104" max="6" man="1"/>
    <brk id="114" max="6" man="1"/>
    <brk id="125" max="6" man="1"/>
    <brk id="136" max="6" man="1"/>
    <brk id="148" max="6" man="1"/>
    <brk id="159" max="6" man="1"/>
    <brk id="172" max="6" man="1"/>
    <brk id="187" max="6" man="1"/>
    <brk id="204" max="6" man="1"/>
    <brk id="217" max="6" man="1"/>
    <brk id="228" max="6" man="1"/>
    <brk id="240" max="6" man="1"/>
    <brk id="256" max="6" man="1"/>
    <brk id="272" max="6" man="1"/>
    <brk id="284" max="6" man="1"/>
    <brk id="297" max="6" man="1"/>
    <brk id="310" max="6" man="1"/>
    <brk id="321" max="6" man="1"/>
    <brk id="335" max="6" man="1"/>
    <brk id="351" max="6" man="1"/>
    <brk id="366" max="6" man="1"/>
    <brk id="380" max="6" man="1"/>
    <brk id="393" max="6" man="1"/>
    <brk id="405" max="6" man="1"/>
    <brk id="413" max="6" man="1"/>
    <brk id="424" max="6" man="1"/>
    <brk id="436" max="6" man="1"/>
    <brk id="450" max="6" man="1"/>
    <brk id="458" max="6" man="1"/>
    <brk id="471" max="6" man="1"/>
    <brk id="482" max="6" man="1"/>
    <brk id="498" max="6" man="1"/>
    <brk id="509" max="6" man="1"/>
    <brk id="521" max="6" man="1"/>
    <brk id="534" max="6" man="1"/>
    <brk id="546" max="6" man="1"/>
    <brk id="563" max="6" man="1"/>
    <brk id="576" max="6" man="1"/>
    <brk id="589" max="6" man="1"/>
    <brk id="604" max="6" man="1"/>
    <brk id="612" max="6" man="1"/>
    <brk id="626" max="6" man="1"/>
    <brk id="641" max="6" man="1"/>
    <brk id="654" max="6" man="1"/>
    <brk id="670" max="6" man="1"/>
    <brk id="684" max="6" man="1"/>
    <brk id="695" max="6" man="1"/>
    <brk id="711" max="6" man="1"/>
    <brk id="726" max="6" man="1"/>
    <brk id="743" max="6" man="1"/>
  </rowBreaks>
  <ignoredErrors>
    <ignoredError sqref="F95 E96:F96 F360:F361 E112:F112 F367 B253 B264:B266 C267 C253:F256 E266:G266 F264:F265 B251:C251 C252:D252 F251:F252 C265:D266 C264 E99 B61:E61 B508:C512 B212:E214 B201:E204 B205 D205:E205 B55:E55 B41:D42 B255:B256 F622 B308:E311 B314:G315 B312:F313 B318:G318 B316:F317 B301:E30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по новой классификации</vt:lpstr>
      <vt:lpstr>'по новой классификации'!Заголовки_для_печати</vt:lpstr>
      <vt:lpstr>'по новой классификации'!Область_печати</vt:lpstr>
    </vt:vector>
  </TitlesOfParts>
  <Company>Финуправление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KarmryanAR</dc:creator>
  <cp:lastModifiedBy>Николаевская НП.</cp:lastModifiedBy>
  <cp:lastPrinted>2023-12-13T08:06:50Z</cp:lastPrinted>
  <dcterms:created xsi:type="dcterms:W3CDTF">2008-10-22T15:37:46Z</dcterms:created>
  <dcterms:modified xsi:type="dcterms:W3CDTF">2023-12-25T09:13:26Z</dcterms:modified>
</cp:coreProperties>
</file>